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943" activeTab="0"/>
  </bookViews>
  <sheets>
    <sheet name="índex 6.12" sheetId="1" r:id="rId1"/>
    <sheet name="6.12.1" sheetId="2" r:id="rId2"/>
    <sheet name="6.12.2" sheetId="3" r:id="rId3"/>
    <sheet name="6.12.3" sheetId="4" r:id="rId4"/>
    <sheet name="6.12.4" sheetId="5" r:id="rId5"/>
    <sheet name="6.12.5" sheetId="6" r:id="rId6"/>
    <sheet name="6.12.6" sheetId="7" r:id="rId7"/>
    <sheet name="6.12.7" sheetId="8" r:id="rId8"/>
    <sheet name="6.12.8" sheetId="9" r:id="rId9"/>
    <sheet name="6.12.9" sheetId="10" r:id="rId10"/>
    <sheet name="6.12.10" sheetId="11" r:id="rId11"/>
    <sheet name="6.12.11" sheetId="12" r:id="rId12"/>
    <sheet name="6.12.12" sheetId="13" r:id="rId13"/>
    <sheet name="6.12.13" sheetId="14" r:id="rId14"/>
    <sheet name="6.12.14" sheetId="15" r:id="rId15"/>
    <sheet name="6.12.15" sheetId="16" r:id="rId16"/>
    <sheet name="6.12.16" sheetId="17" r:id="rId17"/>
  </sheets>
  <definedNames>
    <definedName name="_xlnm.Print_Area" localSheetId="1">'6.12.1'!$A$1:$I$41</definedName>
    <definedName name="_xlnm.Print_Area" localSheetId="10">'6.12.10'!$A$1:$V$41</definedName>
    <definedName name="_xlnm.Print_Area" localSheetId="11">'6.12.11'!$A$1:$F$52</definedName>
    <definedName name="_xlnm.Print_Area" localSheetId="12">'6.12.12'!$A$1:$H$63</definedName>
    <definedName name="_xlnm.Print_Area" localSheetId="13">'6.12.13'!$A$1:$I$53</definedName>
    <definedName name="_xlnm.Print_Area" localSheetId="14">'6.12.14'!$A$1:$R$57</definedName>
    <definedName name="_xlnm.Print_Area" localSheetId="15">'6.12.15'!$A$1:$R$57</definedName>
    <definedName name="_xlnm.Print_Area" localSheetId="16">'6.12.16'!$A$1:$R$58</definedName>
    <definedName name="_xlnm.Print_Area" localSheetId="2">'6.12.2'!$A$1:$H$41</definedName>
    <definedName name="_xlnm.Print_Area" localSheetId="3">'6.12.3'!$A$1:$G$41</definedName>
    <definedName name="_xlnm.Print_Area" localSheetId="4">'6.12.4'!$A$1:$M$42</definedName>
    <definedName name="_xlnm.Print_Area" localSheetId="5">'6.12.5'!$A$1:$L$86</definedName>
    <definedName name="_xlnm.Print_Area" localSheetId="6">'6.12.6'!$A$1:$AV$24</definedName>
    <definedName name="_xlnm.Print_Area" localSheetId="7">'6.12.7'!$A$1:$H$81</definedName>
    <definedName name="_xlnm.Print_Area" localSheetId="8">'6.12.8'!$A$1:$M$45</definedName>
    <definedName name="_xlnm.Print_Area" localSheetId="9">'6.12.9'!$A$1:$M$45</definedName>
    <definedName name="_xlnm.Print_Area" localSheetId="0">'índex 6.12'!$A$1:$D$18</definedName>
  </definedNames>
  <calcPr fullCalcOnLoad="1"/>
</workbook>
</file>

<file path=xl/sharedStrings.xml><?xml version="1.0" encoding="utf-8"?>
<sst xmlns="http://schemas.openxmlformats.org/spreadsheetml/2006/main" count="947" uniqueCount="402">
  <si>
    <t>Moviment d'aeronaus (nombre)</t>
  </si>
  <si>
    <t>Total</t>
  </si>
  <si>
    <t>Barcelona</t>
  </si>
  <si>
    <t>Girona</t>
  </si>
  <si>
    <t>Reus</t>
  </si>
  <si>
    <t>Catalunya</t>
  </si>
  <si>
    <t>Espanya</t>
  </si>
  <si>
    <t>Moviment de passatgers (nombre)</t>
  </si>
  <si>
    <t>Moviment de mercaderies (en tones)</t>
  </si>
  <si>
    <t>-</t>
  </si>
  <si>
    <t>Moviment de mercaderies (t)</t>
  </si>
  <si>
    <t>Vols</t>
  </si>
  <si>
    <t>Vols no</t>
  </si>
  <si>
    <t>regulars</t>
  </si>
  <si>
    <t>interior</t>
  </si>
  <si>
    <t>internacional</t>
  </si>
  <si>
    <t>INTERIOR</t>
  </si>
  <si>
    <t>INTERNACIONAL</t>
  </si>
  <si>
    <t>TOTAL</t>
  </si>
  <si>
    <t>% var.</t>
  </si>
  <si>
    <t>nombre d'avions</t>
  </si>
  <si>
    <t>Catalunya/Espanya</t>
  </si>
  <si>
    <t>nombre de passatgers</t>
  </si>
  <si>
    <t>Passatgers</t>
  </si>
  <si>
    <t>Barcelona-Madrid</t>
  </si>
  <si>
    <t>Gener</t>
  </si>
  <si>
    <t>Febrer</t>
  </si>
  <si>
    <t xml:space="preserve">Març 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</si>
  <si>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</si>
  <si>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</si>
  <si>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</si>
  <si>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</si>
  <si>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</si>
  <si>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</si>
  <si>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</si>
  <si>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</si>
  <si>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</si>
  <si>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Moviment de passatgers (milers)</t>
  </si>
  <si>
    <t>mercaderies (en tones)</t>
  </si>
  <si>
    <t>% var</t>
  </si>
  <si>
    <t>Cat</t>
  </si>
  <si>
    <t>Esp</t>
  </si>
  <si>
    <t>Aeroports</t>
  </si>
  <si>
    <t>Palma de Mallorca</t>
  </si>
  <si>
    <t>Tenerife sud</t>
  </si>
  <si>
    <t>Lanzarote</t>
  </si>
  <si>
    <t>Eivissa</t>
  </si>
  <si>
    <t>Fuerteventura</t>
  </si>
  <si>
    <t>Tenerife nord</t>
  </si>
  <si>
    <t>Bilbao</t>
  </si>
  <si>
    <t>Sevilla</t>
  </si>
  <si>
    <t>Menorca</t>
  </si>
  <si>
    <t>Santiago</t>
  </si>
  <si>
    <t>Xerès de la Frontera</t>
  </si>
  <si>
    <t>Astúries</t>
  </si>
  <si>
    <t>Vigo</t>
  </si>
  <si>
    <t>La Palma</t>
  </si>
  <si>
    <t>Almeria</t>
  </si>
  <si>
    <t>A Corunya</t>
  </si>
  <si>
    <t>Santander</t>
  </si>
  <si>
    <t>Valladolid</t>
  </si>
  <si>
    <t>Saragossa</t>
  </si>
  <si>
    <t>Pamplona</t>
  </si>
  <si>
    <t>Sant Sebastià</t>
  </si>
  <si>
    <t>Melilla</t>
  </si>
  <si>
    <t>Vitòria</t>
  </si>
  <si>
    <t>El Hierrro</t>
  </si>
  <si>
    <t>Lleó</t>
  </si>
  <si>
    <t>Badajoz</t>
  </si>
  <si>
    <t>Logronyo</t>
  </si>
  <si>
    <t>La Gomera</t>
  </si>
  <si>
    <t>Salamanca</t>
  </si>
  <si>
    <t xml:space="preserve">Còrdova </t>
  </si>
  <si>
    <t>Albacete</t>
  </si>
  <si>
    <t>Sabadell</t>
  </si>
  <si>
    <t>Son Bonet</t>
  </si>
  <si>
    <t>--</t>
  </si>
  <si>
    <t>Font: AENA</t>
  </si>
  <si>
    <t>Xères de la Frontera</t>
  </si>
  <si>
    <t>Madrid - Torrejón</t>
  </si>
  <si>
    <t>València</t>
  </si>
  <si>
    <t>Osca - Pirineus</t>
  </si>
  <si>
    <t>Madrid - Cuatro Vientos</t>
  </si>
  <si>
    <t>Múrcia - San Javier</t>
  </si>
  <si>
    <t>Ceuta / heliport</t>
  </si>
  <si>
    <t>Burgos</t>
  </si>
  <si>
    <t>Aeroports i instal·lacions aeroportuàries</t>
  </si>
  <si>
    <t>% Cat./</t>
  </si>
  <si>
    <t>Persones usuàries de la línia</t>
  </si>
  <si>
    <t>Gran Canària</t>
  </si>
  <si>
    <t>FGL Granada - Jaén</t>
  </si>
  <si>
    <t>resta d'Espanya (sense BCN-MDD)*</t>
  </si>
  <si>
    <t xml:space="preserve">*BCN-MDD: Barcelona-Madrid. </t>
  </si>
  <si>
    <t>Regular</t>
  </si>
  <si>
    <t>General</t>
  </si>
  <si>
    <t>No regular</t>
  </si>
  <si>
    <t>Interior</t>
  </si>
  <si>
    <t>Air Europa</t>
  </si>
  <si>
    <t>Iberia</t>
  </si>
  <si>
    <t>Algesires/heliport</t>
  </si>
  <si>
    <t>Companyia aèria</t>
  </si>
  <si>
    <t>Passatgers/eres</t>
  </si>
  <si>
    <t>Total Reus</t>
  </si>
  <si>
    <t>Total Girona</t>
  </si>
  <si>
    <t>Total Barcelona</t>
  </si>
  <si>
    <t>Lleida*</t>
  </si>
  <si>
    <t>Font: AENA, *Aeroports de Catalunya</t>
  </si>
  <si>
    <t>Resta</t>
  </si>
  <si>
    <t>Altres</t>
  </si>
  <si>
    <t>var. %</t>
  </si>
  <si>
    <t>Transit per aeroports (kg)</t>
  </si>
  <si>
    <t>Transit per països (kg)</t>
  </si>
  <si>
    <t>Transit per companyies aèries</t>
  </si>
  <si>
    <t>6.12</t>
  </si>
  <si>
    <t>6.12.1</t>
  </si>
  <si>
    <t>6.12.2</t>
  </si>
  <si>
    <t>6.12.3</t>
  </si>
  <si>
    <t>6.12.4</t>
  </si>
  <si>
    <t>6.12.5</t>
  </si>
  <si>
    <t>6.12.6</t>
  </si>
  <si>
    <t>6.12.7</t>
  </si>
  <si>
    <t>6.12.8</t>
  </si>
  <si>
    <t>6.12.9</t>
  </si>
  <si>
    <t>6.12.10</t>
  </si>
  <si>
    <t>6.12.11</t>
  </si>
  <si>
    <t xml:space="preserve">6.12.12 </t>
  </si>
  <si>
    <t xml:space="preserve">6.12.13  </t>
  </si>
  <si>
    <t>6.12.14</t>
  </si>
  <si>
    <t>6.12.15</t>
  </si>
  <si>
    <t>6.12.16</t>
  </si>
  <si>
    <t>6.12.6 Aeroport de Barcelona:</t>
  </si>
  <si>
    <t>Algesires/ Heliport</t>
  </si>
  <si>
    <t>Air europa</t>
  </si>
  <si>
    <t>Transavia Holland B.V.</t>
  </si>
  <si>
    <t>Jet2.com limited</t>
  </si>
  <si>
    <t>DELTA AIR LINES Inc.</t>
  </si>
  <si>
    <t>TURKISH AIRLINES</t>
  </si>
  <si>
    <t>AMERICAN AIRLINES INC.</t>
  </si>
  <si>
    <t>QATAR AIRWAYS</t>
  </si>
  <si>
    <t>SINGAPORE AIRLINES, LTD.</t>
  </si>
  <si>
    <t>ESPAÑA</t>
  </si>
  <si>
    <t>ALEMANIA</t>
  </si>
  <si>
    <t>FRANCIA</t>
  </si>
  <si>
    <t>SUIZA</t>
  </si>
  <si>
    <t>BELGICA</t>
  </si>
  <si>
    <t>ESTADOS UNIDOS</t>
  </si>
  <si>
    <t>TURQUIA</t>
  </si>
  <si>
    <t>QATAR</t>
  </si>
  <si>
    <t>SINGAPUR</t>
  </si>
  <si>
    <t>COLOMBIA</t>
  </si>
  <si>
    <t>BRASIL</t>
  </si>
  <si>
    <t>LEIPZIG</t>
  </si>
  <si>
    <t>SINGAPUR/ CHANGI</t>
  </si>
  <si>
    <t>NEW YORK /JOHN F.KENNEDY INTL</t>
  </si>
  <si>
    <t>PARIS/ CHARLES DE GAULLE</t>
  </si>
  <si>
    <t>HONG KONG /INTERNACIONAL</t>
  </si>
  <si>
    <t>ESTAMBUL / ATATURK</t>
  </si>
  <si>
    <t>BRUSELAS</t>
  </si>
  <si>
    <t>UPS UNITED PARCEL SERVICE</t>
  </si>
  <si>
    <t>EUROPEAN AIR TRANSPORT LEIPZIN</t>
  </si>
  <si>
    <t>FEDERAL EXPRESS CORPORATION</t>
  </si>
  <si>
    <t>SWIFTAIR S.A.</t>
  </si>
  <si>
    <t>(*)El concepte de Regular correspond al mateix servei d'Aena i el No Regular és la suma de la resta.</t>
  </si>
  <si>
    <t>(*)El concepte Interior correspond al concepte Nacional d'Aena i el concepte Internacional és la suma de la resta. El concepte de Regular correspond al mateix servei d'Aena i el No Regular és la suma de la resta.</t>
  </si>
  <si>
    <t>DUBAI</t>
  </si>
  <si>
    <t>EMIRATES</t>
  </si>
  <si>
    <t>Air nostrum LA Mediterráneo</t>
  </si>
  <si>
    <t>A la categoria mercaderies no hem comptabilitzat els trànsits</t>
  </si>
  <si>
    <t>Nota: comptabilitzat dins categoria passatgers: passatgers + transit</t>
  </si>
  <si>
    <t>HAMAD INTERNATIONAL</t>
  </si>
  <si>
    <t>AVIANCA</t>
  </si>
  <si>
    <t>Adolfo Suárez Madrid - Barajas</t>
  </si>
  <si>
    <t>Barcelona- El Prat</t>
  </si>
  <si>
    <t>Màlaga- Costa del sol</t>
  </si>
  <si>
    <t>Alacant- Elche</t>
  </si>
  <si>
    <t>Màlaga- Costa del Sol</t>
  </si>
  <si>
    <t>Alacant- Elx</t>
  </si>
  <si>
    <t xml:space="preserve">     </t>
  </si>
  <si>
    <t>Norwegian air international</t>
  </si>
  <si>
    <t>Air Serbia</t>
  </si>
  <si>
    <t>ALTRES COMPANYIES</t>
  </si>
  <si>
    <t>Thomas cook airlines LTD</t>
  </si>
  <si>
    <t>Origen Barcelona</t>
  </si>
  <si>
    <t>Origen Girona</t>
  </si>
  <si>
    <t>Origen Reus</t>
  </si>
  <si>
    <t>Destinació</t>
  </si>
  <si>
    <t>ALTRES DESTINACIONS</t>
  </si>
  <si>
    <t>AL MAKTOUM INTERNATIONAL</t>
  </si>
  <si>
    <t>CANADÀ</t>
  </si>
  <si>
    <t>ARGENTINA</t>
  </si>
  <si>
    <t>HONG KONG (CHINA)</t>
  </si>
  <si>
    <t>AIR EUROPA</t>
  </si>
  <si>
    <t>TAM LINHAS AEREAS, S.A.</t>
  </si>
  <si>
    <t>Ryanair DAC</t>
  </si>
  <si>
    <t>Air Nostrum L.A. Mediterraneo</t>
  </si>
  <si>
    <t>Deutsche Lufthansa A.G.</t>
  </si>
  <si>
    <t>Vueling Airlines, S.A.</t>
  </si>
  <si>
    <t>Pobeda airlines LLC</t>
  </si>
  <si>
    <t>Siavia D.O.O.</t>
  </si>
  <si>
    <t>Air nostrum L.A. Mediterraneo</t>
  </si>
  <si>
    <t>Gestair S.A.</t>
  </si>
  <si>
    <t>INCHEON INTL</t>
  </si>
  <si>
    <t>REPÚBLICA DE COREA</t>
  </si>
  <si>
    <t>CHINA</t>
  </si>
  <si>
    <t>ITALIA</t>
  </si>
  <si>
    <t>ASL AIRLINES BELGIUM</t>
  </si>
  <si>
    <t>AIR CHINA</t>
  </si>
  <si>
    <t>KOREAN AIR LINES CO. LTD</t>
  </si>
  <si>
    <t>(*)Aeroports d'AENA.
El concepte Interior correspon al concepte Nacional d'Aena i el concepte Internacional és la suma de la resta. El concepte de Regular correspon al mateix servei d'Aena i el No Regular és la suma de la resta.</t>
  </si>
  <si>
    <t>Norvegian Air International</t>
  </si>
  <si>
    <t>Evelop Airlines S.L.</t>
  </si>
  <si>
    <t>Ural Airlines</t>
  </si>
  <si>
    <t>British Airways</t>
  </si>
  <si>
    <t>Wizz Air Hungary LTD</t>
  </si>
  <si>
    <t>I Fly LTD</t>
  </si>
  <si>
    <t>Rossiya Airlines, Open JSC</t>
  </si>
  <si>
    <t>Tui Fly (TUI Airlines Belgium)</t>
  </si>
  <si>
    <t>Enter Air SP Z.O.O.</t>
  </si>
  <si>
    <t>Lease Fly, S.A.</t>
  </si>
  <si>
    <t>Tui Airways, LTD</t>
  </si>
  <si>
    <t>Adria Airways</t>
  </si>
  <si>
    <t>Tui fly (TUI Airlines Belgium)</t>
  </si>
  <si>
    <t>Clipper National Air, S.A.</t>
  </si>
  <si>
    <t>Swiss Air Ambulance</t>
  </si>
  <si>
    <t>Aviación Privada</t>
  </si>
  <si>
    <t>Tui Airways LTD</t>
  </si>
  <si>
    <t>Thomas Cook Airlines LTD</t>
  </si>
  <si>
    <t>Eurowings GMBH</t>
  </si>
  <si>
    <t>Pobeda Airlines LLC</t>
  </si>
  <si>
    <t>Tui Fly (Tui Airlines Belgium)</t>
  </si>
  <si>
    <t>6.12.2 Aeroports: trànsit de passatgers, 1987 - 2018</t>
  </si>
  <si>
    <t>Aeroports: trànsit de passatgers, 1987 - 2018</t>
  </si>
  <si>
    <t>Aeroports: tràfic d'aeronaus, 1987 - 2018</t>
  </si>
  <si>
    <t>6.12.1 Aeroports: tràfic d'aeronaus 1987 - 2018</t>
  </si>
  <si>
    <t>6.12.3 Aeroports: tràfic de mercaderies 1987 - 2018</t>
  </si>
  <si>
    <t>6.12.14 Aeroports de l'Estat: moviment d'aeronaus 2007 - 2018</t>
  </si>
  <si>
    <t>% var.2018 s/2017</t>
  </si>
  <si>
    <t>Aeroports: tràfic de mercaderies. 1987 - 2018</t>
  </si>
  <si>
    <t>Aeroports de l'Estat: moviment d'aeronaus, 2007 - 2018</t>
  </si>
  <si>
    <t>Aeroports de l'Estat: moviment de passatgers, 2007 - 2018</t>
  </si>
  <si>
    <t>Aeroports de l'Estat: moviment de mercaderies (en kg), 2007 - 2018</t>
  </si>
  <si>
    <t>6.12.15 Aeroports de l'Estat: passatgers 2007 - 2018</t>
  </si>
  <si>
    <t>6.12.16 Aeroports de l'Estat: mercaderies (en kg), 2007 - 2018</t>
  </si>
  <si>
    <t>6.12.4 Aeroports de Catalunya: moviment d'aeronaus, passatgers i mercaderies, 1987 - 2018</t>
  </si>
  <si>
    <t>6.12.5 Aeroport de Barcelona: moviment d'aeronaus, passatgers i mercaderies, 1987 - 2018 (*)</t>
  </si>
  <si>
    <t>6.12.8 Aeroport de Girona: moviment d'aeronaus, passatgers i mercaderies, 1987 - 2018 (*)</t>
  </si>
  <si>
    <t>6.12.9 Aeroport de Reus: moviment d'aeronaus, passatgers i mercaderies, 1987 - 2018  (*)</t>
  </si>
  <si>
    <t>Aeroports de Catalunya: moviment d'aeronaus, passatgers i mercaderies, 1987 - 2018</t>
  </si>
  <si>
    <t>Aeroport de Barcelona: moviment d'aeronaus, passatgers i mercaderies, 1987 - 2018</t>
  </si>
  <si>
    <t>Aeroport de Girona: moviment d'aeronaus, passatgers i mercaderies, 1987 - 2018</t>
  </si>
  <si>
    <t>Aeroport de Reus: moviment d'aeronaus, passatgers i mercaderies, 1987 - 2018</t>
  </si>
  <si>
    <t>Nota: a partir de l'any 2018 s'inclouen els vols de l'aeroport de Lleida- Algüaire</t>
  </si>
  <si>
    <t>trànsit de passatgers amb la resta d'aeroports espanyols, 2012 - 2018</t>
  </si>
  <si>
    <t>Aeroport de Barcelona: trànsit de passatgers amb la resta d'aeroports espanyols, 2012 - 2018</t>
  </si>
  <si>
    <t>var.18/17 %</t>
  </si>
  <si>
    <t>Aeroport de Barcelona: Moviment de mercaderies per destinacions, 2017 - 2018</t>
  </si>
  <si>
    <t>COLONIA BONN</t>
  </si>
  <si>
    <t>MIAMI INTERNACIONAL</t>
  </si>
  <si>
    <t>SAO PAULO GUARULHOS INTERNACIONAL</t>
  </si>
  <si>
    <t>MADRID- BARAJAS ADOLFO SUÁREZ</t>
  </si>
  <si>
    <t>BOGOTA EL DORADO</t>
  </si>
  <si>
    <t>NEWARK LIBERTY INTL</t>
  </si>
  <si>
    <t>LIEGE BIERSET</t>
  </si>
  <si>
    <t>MOSCU SHEREMETYEVO</t>
  </si>
  <si>
    <t>SHANGAI PUDONG</t>
  </si>
  <si>
    <t>EMIRATOS ARABES UNIDOS</t>
  </si>
  <si>
    <t>FEDERACIÓN RUSA</t>
  </si>
  <si>
    <t>HOLANDA</t>
  </si>
  <si>
    <t>NORWEGIAN AIR SHUTTLE ASA</t>
  </si>
  <si>
    <t>CARGOLUX AIRLINES INTERNATIONAL</t>
  </si>
  <si>
    <t>AEROFLOT - RUSSIAN AIRLINES</t>
  </si>
  <si>
    <t>CATHAY PACIFIC AIRWAYS LTD.</t>
  </si>
  <si>
    <t>6.12.10 Aeroports de Catalunya: moviment d'aeronaus, passatgers i mercaderies, 2018(*)</t>
  </si>
  <si>
    <t>Aeroports de Catalunya: moviment d'aeronaus, passatgers i mercaderies, 2018</t>
  </si>
  <si>
    <t>Aeroports de Catalunya: rànquing de companyies aèries per passatgers transportats, 2018</t>
  </si>
  <si>
    <t>6.12.11 Aeroports de Catalunya: rànquing de companyies aèries per passatgers transportats, 2018</t>
  </si>
  <si>
    <t>Easyjet UK LTD</t>
  </si>
  <si>
    <t>Jet2.com Limited</t>
  </si>
  <si>
    <t>Inaer helicopteros- Babcock M</t>
  </si>
  <si>
    <t>Lauda Motion GMBH</t>
  </si>
  <si>
    <t>Travel Service</t>
  </si>
  <si>
    <t>Brussels Airlines, S.A.</t>
  </si>
  <si>
    <t>EasyJet UK LTD</t>
  </si>
  <si>
    <t>Cello Aviation LTD</t>
  </si>
  <si>
    <t>Brussels Airlines N.V. S.A.</t>
  </si>
  <si>
    <t>Alba Star, S.A.</t>
  </si>
  <si>
    <t>Royal Flight Airlines, CJSC</t>
  </si>
  <si>
    <t>Norwegian Air International</t>
  </si>
  <si>
    <t>BA Cityflyer LTD</t>
  </si>
  <si>
    <t>Volotea, S.A.</t>
  </si>
  <si>
    <t>Smartlynx Airlines Estonia</t>
  </si>
  <si>
    <t>Inaer Helicopteros- Babcock M</t>
  </si>
  <si>
    <t>Small planet Airlines SP.Z.O.</t>
  </si>
  <si>
    <t>Smartwings Poland SP Z.O.O.</t>
  </si>
  <si>
    <t>Enter Air SP Z.O.O</t>
  </si>
  <si>
    <t>Luxair- Societe Luxembourgeoi</t>
  </si>
  <si>
    <t>Azur Air</t>
  </si>
  <si>
    <t>Yanair, Aviacompany LTD</t>
  </si>
  <si>
    <t>Ryanair Sun S.A.</t>
  </si>
  <si>
    <t>Germania Fluggesellschaft MBH</t>
  </si>
  <si>
    <t>Gerstair S.A.</t>
  </si>
  <si>
    <t>Aero4M, D.O.O.</t>
  </si>
  <si>
    <t>Privilege Style, S.A.</t>
  </si>
  <si>
    <t>Maleth Aero Aoc LTD</t>
  </si>
  <si>
    <t>Blue Islands</t>
  </si>
  <si>
    <t>Netjets, Transportes Aereos SA</t>
  </si>
  <si>
    <t>Vistajet LTD</t>
  </si>
  <si>
    <t>Aerowest GMBH</t>
  </si>
  <si>
    <t>Xclusive jet charter LTD</t>
  </si>
  <si>
    <t>International jet management G</t>
  </si>
  <si>
    <t>Aerodienst GMBH, Numberg</t>
  </si>
  <si>
    <t>Luxwing</t>
  </si>
  <si>
    <t>Aeroports de Catalunya: Nombre de passatgers/eres transportats per companyies aèries, 2018</t>
  </si>
  <si>
    <t>Nombre de passatgers/eres amb origen als aeroports de Catalunya i les seves destinacions, 2018</t>
  </si>
  <si>
    <t>6.12.12 Aeroports de Catalunya: Nombre de passatgers/eres transportats per companyies aèries, 2018</t>
  </si>
  <si>
    <t>VUELING AIRLINES, S.A.</t>
  </si>
  <si>
    <t>RYANAIR DAC</t>
  </si>
  <si>
    <t>EASYJET UK LTD</t>
  </si>
  <si>
    <t>IBERIA</t>
  </si>
  <si>
    <t>DEUTSCHE LUFTHANSA A.G.</t>
  </si>
  <si>
    <t>NORWEGIAN AIR INTERNATIONAL</t>
  </si>
  <si>
    <t>WIZZ AIR HUNGARY LTD</t>
  </si>
  <si>
    <t>BRITISH AIRWAYS</t>
  </si>
  <si>
    <t>EUROWINGS GMBH</t>
  </si>
  <si>
    <t>AIR FRANCE</t>
  </si>
  <si>
    <t>TAP AIR PORTUGAL</t>
  </si>
  <si>
    <t>KLM ROYAL DUTCH AIRLINES</t>
  </si>
  <si>
    <t>TRANSAVIA HOLLAND B.V</t>
  </si>
  <si>
    <t>SWISS INTERNATIONAL AIR LINES</t>
  </si>
  <si>
    <t>ALITALIA, SOCIETÀ AEREA ITALIA</t>
  </si>
  <si>
    <t>EASYJET SWITZERLAND SA</t>
  </si>
  <si>
    <t>BRUSSELS AIRLINES N.V. S.A.</t>
  </si>
  <si>
    <t>UNITED AIRLINES INC. SUCURSAL</t>
  </si>
  <si>
    <t>TRANSAVIA FRANCE</t>
  </si>
  <si>
    <t>EL AL- ISRAEL AIRLINES, LTD.</t>
  </si>
  <si>
    <t>AER LINGUS</t>
  </si>
  <si>
    <t>AIR CANADA ROUGE</t>
  </si>
  <si>
    <t>FINNAIR OYJ</t>
  </si>
  <si>
    <t>JET2.COM LIMITED</t>
  </si>
  <si>
    <t>POBEDA AIRLINES LLC.</t>
  </si>
  <si>
    <t>TUI AIRWAYS LTD</t>
  </si>
  <si>
    <t>THOMAS COOK AIRLINES LTD</t>
  </si>
  <si>
    <t>LAUDA MOTION GMBH</t>
  </si>
  <si>
    <t>ENTER AIR SP Z.O.O.</t>
  </si>
  <si>
    <t>SMALL PLANET AIRLINES SP. Z.O.</t>
  </si>
  <si>
    <t>SMARTWINGS POLAND SP.Z.O.O.</t>
  </si>
  <si>
    <t>TUI FLY (TUI AIRLINES BELGIUM)</t>
  </si>
  <si>
    <t>TRAVEL SERVICE</t>
  </si>
  <si>
    <t>ADRIA AIRWAYS</t>
  </si>
  <si>
    <t>AIR SERBIA</t>
  </si>
  <si>
    <t>AVIACION PRIVADA</t>
  </si>
  <si>
    <t>SMARTLYNX AIRLINES ESTONIA</t>
  </si>
  <si>
    <t>AIR NOSTRUM L.A. MEDITERRANEO</t>
  </si>
  <si>
    <t>IBERTOUR SERVICIOS AEREOS SLU</t>
  </si>
  <si>
    <t>LUXAIR - SOCIETE LUXEMBOURGEOI</t>
  </si>
  <si>
    <t>AERBRAVA, S.C.P.</t>
  </si>
  <si>
    <t>AEROCLUB BARCELONA-SABADELL</t>
  </si>
  <si>
    <t>CROATIA AIRLINES</t>
  </si>
  <si>
    <t>CELLO AVIATION LTD</t>
  </si>
  <si>
    <t>ALBA STAR, S.A.</t>
  </si>
  <si>
    <t>ROYAL FLIGHT AIRLINES, CJSC</t>
  </si>
  <si>
    <t>INAER HELICOPTEROS - BABCOCK M</t>
  </si>
  <si>
    <t>BA CITYFLYER LTD</t>
  </si>
  <si>
    <t>VOLOTEA, S.A.</t>
  </si>
  <si>
    <t>R.A.C. DE REUS-COSTA DORADA</t>
  </si>
  <si>
    <t>AIR ALGERIE</t>
  </si>
  <si>
    <t>AVIACIÓN PRIVADA</t>
  </si>
  <si>
    <t>FLYBE LTD</t>
  </si>
  <si>
    <t>REINO UNIDO</t>
  </si>
  <si>
    <t>IRLANDA</t>
  </si>
  <si>
    <t>FEDERACION RUSA</t>
  </si>
  <si>
    <t>POLONIA</t>
  </si>
  <si>
    <t>ESTONIA</t>
  </si>
  <si>
    <t>NORUEGA</t>
  </si>
  <si>
    <t>ARGELIA</t>
  </si>
  <si>
    <t>REPUBLICA DE SERBIA</t>
  </si>
  <si>
    <t>REPUBLICA CHECA</t>
  </si>
  <si>
    <t>AUSTRIA</t>
  </si>
  <si>
    <t>PORTUGAL</t>
  </si>
  <si>
    <t>MARRUECOS</t>
  </si>
  <si>
    <t>DINAMARCA</t>
  </si>
  <si>
    <t>SUECIA</t>
  </si>
  <si>
    <t>RUMANIA</t>
  </si>
  <si>
    <t>ISRAEL</t>
  </si>
  <si>
    <t>GRECIA</t>
  </si>
  <si>
    <t>HUNGRIA</t>
  </si>
  <si>
    <t>FINLANDIA</t>
  </si>
  <si>
    <t>CANADA</t>
  </si>
  <si>
    <t>UCRANIA</t>
  </si>
  <si>
    <t>CROACIA</t>
  </si>
  <si>
    <t>BULGARIA</t>
  </si>
  <si>
    <t>REPUBLICA DE COREA</t>
  </si>
  <si>
    <t>MALTA</t>
  </si>
  <si>
    <t>ISLANDIA</t>
  </si>
  <si>
    <t>LUXEMBURGO</t>
  </si>
  <si>
    <t>LITUANIA</t>
  </si>
  <si>
    <t>LETONIA</t>
  </si>
  <si>
    <t>PERU</t>
  </si>
  <si>
    <t>ESLOVAQUIA</t>
  </si>
  <si>
    <t>ESLOVENIA</t>
  </si>
  <si>
    <t>6.12.13  Nombre de passatgers/eres amb origen als aeroports de Catalunya i les seves destinacions , 2018</t>
  </si>
  <si>
    <t>6.12.7 Aeroport de Barcelona: Moviment de mercaderies per destinacions, 2017 - 2018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</si>
</sst>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General_)"/>
    <numFmt numFmtId="195" formatCode="0_)"/>
    <numFmt numFmtId="196" formatCode="0.0%"/>
    <numFmt numFmtId="197" formatCode="#,##0.0"/>
    <numFmt numFmtId="198" formatCode="_-* #,##0\ _P_T_A_-;\-* #,##0\ _P_T_A_-;_-* &quot;-&quot;\ _P_T_A_-;_-@_-"/>
    <numFmt numFmtId="199" formatCode="_-* #,##0.00\ _P_T_A_-;\-* #,##0.00\ _P_T_A_-;_-* &quot;-&quot;??\ _P_T_A_-;_-@_-"/>
    <numFmt numFmtId="200" formatCode="#,##0_);\(#,##0\)"/>
    <numFmt numFmtId="201" formatCode="00000"/>
    <numFmt numFmtId="202" formatCode="0.0"/>
    <numFmt numFmtId="203" formatCode="_-* #,##0&quot;Pts&quot;_-;\-* #,##0&quot;Pts&quot;_-;_-* &quot;-&quot;&quot;Pts&quot;_-;_-@_-"/>
    <numFmt numFmtId="204" formatCode="_-* #,##0_P_t_s_-;\-* #,##0_P_t_s_-;_-* &quot;-&quot;_P_t_s_-;_-@_-"/>
    <numFmt numFmtId="205" formatCode="_-* #,##0.00&quot;Pts&quot;_-;\-* #,##0.00&quot;Pts&quot;_-;_-* &quot;-&quot;??&quot;Pts&quot;_-;_-@_-"/>
    <numFmt numFmtId="206" formatCode="_-* #,##0.00_P_t_s_-;\-* #,##0.00_P_t_s_-;_-* &quot;-&quot;??_P_t_s_-;_-@_-"/>
    <numFmt numFmtId="207" formatCode="#,##0.000"/>
    <numFmt numFmtId="208" formatCode="#,##0.0000"/>
    <numFmt numFmtId="209" formatCode="#,##0.00000"/>
    <numFmt numFmtId="210" formatCode="#,##0.000000"/>
    <numFmt numFmtId="211" formatCode="#,##0.0000000"/>
    <numFmt numFmtId="212" formatCode="#,##0.00000000"/>
    <numFmt numFmtId="213" formatCode="#,##0.0_);\(#,##0.0\)"/>
    <numFmt numFmtId="214" formatCode="&quot;Sí&quot;;&quot;Sí&quot;;&quot;No&quot;"/>
    <numFmt numFmtId="215" formatCode="&quot;Cert&quot;;&quot;Cert&quot;;&quot;Fals&quot;"/>
    <numFmt numFmtId="216" formatCode="&quot;Activat&quot;;&quot;Activat&quot;;&quot;Desactivat&quot;"/>
    <numFmt numFmtId="217" formatCode="[$€-2]\ #.##000_);[Red]\([$€-2]\ #.##000\)"/>
  </numFmts>
  <fonts count="60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1"/>
      <color indexed="53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23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5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5"/>
      <name val="Arial"/>
      <family val="2"/>
    </font>
    <font>
      <sz val="8"/>
      <color theme="5"/>
      <name val="Arial"/>
      <family val="2"/>
    </font>
    <font>
      <b/>
      <sz val="9"/>
      <color theme="5"/>
      <name val="Arial"/>
      <family val="2"/>
    </font>
    <font>
      <sz val="7"/>
      <color rgb="FF66666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187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left"/>
      <protection locked="0"/>
    </xf>
    <xf numFmtId="3" fontId="2" fillId="0" borderId="10" xfId="0" applyNumberFormat="1" applyFont="1" applyBorder="1" applyAlignment="1" applyProtection="1">
      <alignment horizontal="centerContinuous"/>
      <protection locked="0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19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194" fontId="2" fillId="0" borderId="10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3" fontId="3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>
      <alignment horizontal="right"/>
    </xf>
    <xf numFmtId="1" fontId="2" fillId="0" borderId="1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>
      <alignment horizontal="right"/>
    </xf>
    <xf numFmtId="3" fontId="2" fillId="0" borderId="0" xfId="48" applyNumberFormat="1" applyFont="1" applyAlignment="1">
      <alignment/>
    </xf>
    <xf numFmtId="0" fontId="0" fillId="0" borderId="10" xfId="0" applyBorder="1" applyAlignment="1">
      <alignment/>
    </xf>
    <xf numFmtId="194" fontId="2" fillId="0" borderId="0" xfId="0" applyNumberFormat="1" applyFont="1" applyBorder="1" applyAlignment="1" applyProtection="1">
      <alignment horizontal="lef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>
      <alignment horizontal="right"/>
    </xf>
    <xf numFmtId="1" fontId="3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96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horizontal="right"/>
    </xf>
    <xf numFmtId="3" fontId="3" fillId="0" borderId="0" xfId="48" applyNumberFormat="1" applyFont="1" applyAlignment="1">
      <alignment horizontal="right"/>
    </xf>
    <xf numFmtId="3" fontId="3" fillId="0" borderId="0" xfId="48" applyNumberFormat="1" applyFont="1" applyBorder="1" applyAlignment="1">
      <alignment horizontal="right"/>
    </xf>
    <xf numFmtId="10" fontId="3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3" fontId="2" fillId="0" borderId="11" xfId="0" applyNumberFormat="1" applyFont="1" applyBorder="1" applyAlignment="1" applyProtection="1">
      <alignment horizontal="center"/>
      <protection locked="0"/>
    </xf>
    <xf numFmtId="196" fontId="0" fillId="0" borderId="0" xfId="54" applyNumberFormat="1" applyFont="1" applyAlignment="1">
      <alignment/>
    </xf>
    <xf numFmtId="194" fontId="2" fillId="0" borderId="0" xfId="0" applyNumberFormat="1" applyFont="1" applyBorder="1" applyAlignment="1" applyProtection="1">
      <alignment horizontal="right"/>
      <protection locked="0"/>
    </xf>
    <xf numFmtId="194" fontId="2" fillId="0" borderId="1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196" fontId="3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>
      <alignment horizontal="right"/>
    </xf>
    <xf numFmtId="0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7" fillId="0" borderId="0" xfId="0" applyNumberFormat="1" applyFont="1" applyAlignment="1" applyProtection="1">
      <alignment horizontal="right"/>
      <protection locked="0"/>
    </xf>
    <xf numFmtId="3" fontId="0" fillId="33" borderId="0" xfId="0" applyNumberFormat="1" applyFill="1" applyAlignment="1">
      <alignment horizontal="right" wrapText="1"/>
    </xf>
    <xf numFmtId="0" fontId="9" fillId="0" borderId="0" xfId="0" applyFont="1" applyAlignment="1">
      <alignment/>
    </xf>
    <xf numFmtId="0" fontId="1" fillId="0" borderId="0" xfId="44" applyFont="1" applyAlignment="1" applyProtection="1">
      <alignment/>
      <protection/>
    </xf>
    <xf numFmtId="0" fontId="1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 quotePrefix="1">
      <alignment horizontal="right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196" fontId="3" fillId="33" borderId="1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196" fontId="0" fillId="33" borderId="0" xfId="0" applyNumberFormat="1" applyFill="1" applyAlignment="1">
      <alignment/>
    </xf>
    <xf numFmtId="0" fontId="4" fillId="33" borderId="0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 horizontal="center" wrapText="1"/>
      <protection locked="0"/>
    </xf>
    <xf numFmtId="0" fontId="3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0" fillId="0" borderId="0" xfId="0" applyAlignment="1">
      <alignment/>
    </xf>
    <xf numFmtId="3" fontId="3" fillId="0" borderId="0" xfId="0" applyNumberFormat="1" applyFont="1" applyAlignment="1">
      <alignment horizontal="right" wrapText="1"/>
    </xf>
    <xf numFmtId="0" fontId="3" fillId="33" borderId="0" xfId="0" applyFont="1" applyFill="1" applyAlignment="1">
      <alignment horizontal="right"/>
    </xf>
    <xf numFmtId="0" fontId="0" fillId="33" borderId="12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wrapText="1"/>
    </xf>
    <xf numFmtId="3" fontId="0" fillId="33" borderId="0" xfId="0" applyNumberFormat="1" applyFill="1" applyAlignment="1">
      <alignment horizontal="left"/>
    </xf>
    <xf numFmtId="3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 wrapText="1"/>
    </xf>
    <xf numFmtId="3" fontId="0" fillId="33" borderId="0" xfId="0" applyNumberFormat="1" applyFill="1" applyAlignment="1">
      <alignment horizontal="left"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33" borderId="12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 wrapText="1"/>
    </xf>
    <xf numFmtId="3" fontId="10" fillId="33" borderId="0" xfId="0" applyNumberFormat="1" applyFont="1" applyFill="1" applyAlignment="1">
      <alignment horizontal="left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0" fontId="3" fillId="33" borderId="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3" fontId="14" fillId="0" borderId="0" xfId="0" applyNumberFormat="1" applyFont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0" fillId="33" borderId="0" xfId="0" applyFont="1" applyFill="1" applyAlignment="1">
      <alignment horizontal="left" wrapText="1"/>
    </xf>
    <xf numFmtId="0" fontId="13" fillId="33" borderId="0" xfId="0" applyFont="1" applyFill="1" applyAlignment="1">
      <alignment horizontal="left" wrapText="1"/>
    </xf>
    <xf numFmtId="3" fontId="13" fillId="33" borderId="0" xfId="0" applyNumberFormat="1" applyFont="1" applyFill="1" applyAlignment="1">
      <alignment horizontal="left" wrapText="1"/>
    </xf>
    <xf numFmtId="0" fontId="14" fillId="0" borderId="0" xfId="0" applyFont="1" applyAlignment="1">
      <alignment/>
    </xf>
    <xf numFmtId="0" fontId="3" fillId="33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5" fillId="0" borderId="0" xfId="0" applyFont="1" applyAlignment="1" applyProtection="1">
      <alignment horizontal="left"/>
      <protection locked="0"/>
    </xf>
    <xf numFmtId="0" fontId="16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196" fontId="15" fillId="33" borderId="0" xfId="0" applyNumberFormat="1" applyFont="1" applyFill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Fill="1" applyAlignment="1" applyProtection="1" quotePrefix="1">
      <alignment horizontal="right"/>
      <protection locked="0"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94" fontId="2" fillId="34" borderId="0" xfId="0" applyNumberFormat="1" applyFont="1" applyFill="1" applyBorder="1" applyAlignment="1" applyProtection="1">
      <alignment/>
      <protection locked="0"/>
    </xf>
    <xf numFmtId="3" fontId="2" fillId="34" borderId="0" xfId="0" applyNumberFormat="1" applyFont="1" applyFill="1" applyBorder="1" applyAlignment="1" applyProtection="1">
      <alignment horizontal="right"/>
      <protection locked="0"/>
    </xf>
    <xf numFmtId="3" fontId="2" fillId="34" borderId="0" xfId="0" applyNumberFormat="1" applyFont="1" applyFill="1" applyBorder="1" applyAlignment="1">
      <alignment horizontal="right"/>
    </xf>
    <xf numFmtId="194" fontId="2" fillId="34" borderId="10" xfId="0" applyNumberFormat="1" applyFont="1" applyFill="1" applyBorder="1" applyAlignment="1" applyProtection="1">
      <alignment horizontal="left"/>
      <protection locked="0"/>
    </xf>
    <xf numFmtId="3" fontId="2" fillId="34" borderId="10" xfId="0" applyNumberFormat="1" applyFont="1" applyFill="1" applyBorder="1" applyAlignment="1" applyProtection="1">
      <alignment horizontal="right"/>
      <protection locked="0"/>
    </xf>
    <xf numFmtId="0" fontId="2" fillId="34" borderId="10" xfId="0" applyFont="1" applyFill="1" applyBorder="1" applyAlignment="1">
      <alignment horizontal="right"/>
    </xf>
    <xf numFmtId="3" fontId="2" fillId="34" borderId="10" xfId="0" applyNumberFormat="1" applyFont="1" applyFill="1" applyBorder="1" applyAlignment="1">
      <alignment horizontal="right"/>
    </xf>
    <xf numFmtId="194" fontId="2" fillId="34" borderId="0" xfId="0" applyNumberFormat="1" applyFont="1" applyFill="1" applyBorder="1" applyAlignment="1" applyProtection="1">
      <alignment/>
      <protection locked="0"/>
    </xf>
    <xf numFmtId="194" fontId="2" fillId="34" borderId="10" xfId="0" applyNumberFormat="1" applyFont="1" applyFill="1" applyBorder="1" applyAlignment="1" applyProtection="1">
      <alignment horizontal="left"/>
      <protection locked="0"/>
    </xf>
    <xf numFmtId="1" fontId="2" fillId="35" borderId="0" xfId="0" applyNumberFormat="1" applyFont="1" applyFill="1" applyAlignment="1" applyProtection="1">
      <alignment horizontal="center"/>
      <protection locked="0"/>
    </xf>
    <xf numFmtId="3" fontId="3" fillId="35" borderId="0" xfId="0" applyNumberFormat="1" applyFont="1" applyFill="1" applyAlignment="1" applyProtection="1">
      <alignment horizontal="right"/>
      <protection locked="0"/>
    </xf>
    <xf numFmtId="3" fontId="2" fillId="35" borderId="0" xfId="0" applyNumberFormat="1" applyFont="1" applyFill="1" applyAlignment="1">
      <alignment horizontal="right"/>
    </xf>
    <xf numFmtId="3" fontId="3" fillId="35" borderId="0" xfId="0" applyNumberFormat="1" applyFont="1" applyFill="1" applyAlignment="1">
      <alignment horizontal="right"/>
    </xf>
    <xf numFmtId="196" fontId="3" fillId="35" borderId="0" xfId="0" applyNumberFormat="1" applyFont="1" applyFill="1" applyAlignment="1">
      <alignment horizontal="right"/>
    </xf>
    <xf numFmtId="1" fontId="2" fillId="35" borderId="0" xfId="0" applyNumberFormat="1" applyFont="1" applyFill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/>
      <protection locked="0"/>
    </xf>
    <xf numFmtId="3" fontId="2" fillId="34" borderId="12" xfId="0" applyNumberFormat="1" applyFont="1" applyFill="1" applyBorder="1" applyAlignment="1" applyProtection="1">
      <alignment horizontal="centerContinuous"/>
      <protection locked="0"/>
    </xf>
    <xf numFmtId="3" fontId="2" fillId="34" borderId="11" xfId="0" applyNumberFormat="1" applyFont="1" applyFill="1" applyBorder="1" applyAlignment="1">
      <alignment/>
    </xf>
    <xf numFmtId="194" fontId="2" fillId="34" borderId="0" xfId="0" applyNumberFormat="1" applyFont="1" applyFill="1" applyAlignment="1" applyProtection="1">
      <alignment/>
      <protection locked="0"/>
    </xf>
    <xf numFmtId="3" fontId="2" fillId="34" borderId="0" xfId="0" applyNumberFormat="1" applyFont="1" applyFill="1" applyAlignment="1" applyProtection="1">
      <alignment horizontal="right"/>
      <protection locked="0"/>
    </xf>
    <xf numFmtId="3" fontId="2" fillId="34" borderId="0" xfId="0" applyNumberFormat="1" applyFont="1" applyFill="1" applyAlignment="1">
      <alignment horizontal="right"/>
    </xf>
    <xf numFmtId="194" fontId="2" fillId="34" borderId="0" xfId="0" applyNumberFormat="1" applyFont="1" applyFill="1" applyAlignment="1" applyProtection="1">
      <alignment horizontal="center"/>
      <protection locked="0"/>
    </xf>
    <xf numFmtId="194" fontId="2" fillId="34" borderId="10" xfId="0" applyNumberFormat="1" applyFont="1" applyFill="1" applyBorder="1" applyAlignment="1" applyProtection="1">
      <alignment horizontal="center"/>
      <protection locked="0"/>
    </xf>
    <xf numFmtId="1" fontId="2" fillId="35" borderId="0" xfId="0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 horizontal="right"/>
    </xf>
    <xf numFmtId="3" fontId="3" fillId="35" borderId="0" xfId="0" applyNumberFormat="1" applyFont="1" applyFill="1" applyBorder="1" applyAlignment="1" applyProtection="1">
      <alignment horizontal="right"/>
      <protection locked="0"/>
    </xf>
    <xf numFmtId="3" fontId="3" fillId="35" borderId="0" xfId="0" applyNumberFormat="1" applyFont="1" applyFill="1" applyBorder="1" applyAlignment="1">
      <alignment horizontal="right"/>
    </xf>
    <xf numFmtId="3" fontId="3" fillId="35" borderId="0" xfId="48" applyNumberFormat="1" applyFont="1" applyFill="1" applyAlignment="1">
      <alignment horizontal="right"/>
    </xf>
    <xf numFmtId="3" fontId="3" fillId="35" borderId="0" xfId="48" applyNumberFormat="1" applyFont="1" applyFill="1" applyBorder="1" applyAlignment="1">
      <alignment horizontal="right"/>
    </xf>
    <xf numFmtId="3" fontId="3" fillId="35" borderId="0" xfId="0" applyNumberFormat="1" applyFont="1" applyFill="1" applyAlignment="1">
      <alignment/>
    </xf>
    <xf numFmtId="1" fontId="2" fillId="34" borderId="12" xfId="0" applyNumberFormat="1" applyFont="1" applyFill="1" applyBorder="1" applyAlignment="1" applyProtection="1">
      <alignment horizontal="left" vertical="center"/>
      <protection locked="0"/>
    </xf>
    <xf numFmtId="3" fontId="2" fillId="34" borderId="12" xfId="0" applyNumberFormat="1" applyFont="1" applyFill="1" applyBorder="1" applyAlignment="1" applyProtection="1">
      <alignment horizontal="right" vertical="center"/>
      <protection locked="0"/>
    </xf>
    <xf numFmtId="196" fontId="2" fillId="34" borderId="12" xfId="0" applyNumberFormat="1" applyFont="1" applyFill="1" applyBorder="1" applyAlignment="1" applyProtection="1">
      <alignment horizontal="right" vertical="center"/>
      <protection locked="0"/>
    </xf>
    <xf numFmtId="10" fontId="2" fillId="34" borderId="12" xfId="0" applyNumberFormat="1" applyFont="1" applyFill="1" applyBorder="1" applyAlignment="1" applyProtection="1">
      <alignment horizontal="right" vertical="center"/>
      <protection locked="0"/>
    </xf>
    <xf numFmtId="3" fontId="2" fillId="34" borderId="1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Border="1" applyAlignment="1">
      <alignment/>
    </xf>
    <xf numFmtId="0" fontId="4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 applyProtection="1">
      <alignment horizontal="right" wrapText="1"/>
      <protection locked="0"/>
    </xf>
    <xf numFmtId="1" fontId="2" fillId="35" borderId="0" xfId="0" applyNumberFormat="1" applyFont="1" applyFill="1" applyAlignment="1" applyProtection="1">
      <alignment horizontal="left"/>
      <protection locked="0"/>
    </xf>
    <xf numFmtId="3" fontId="3" fillId="35" borderId="0" xfId="0" applyNumberFormat="1" applyFont="1" applyFill="1" applyAlignment="1">
      <alignment horizontal="right" wrapText="1"/>
    </xf>
    <xf numFmtId="10" fontId="3" fillId="35" borderId="0" xfId="0" applyNumberFormat="1" applyFont="1" applyFill="1" applyAlignment="1" applyProtection="1">
      <alignment horizontal="right"/>
      <protection locked="0"/>
    </xf>
    <xf numFmtId="3" fontId="3" fillId="35" borderId="0" xfId="0" applyNumberFormat="1" applyFont="1" applyFill="1" applyAlignment="1" applyProtection="1">
      <alignment/>
      <protection locked="0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196" fontId="4" fillId="34" borderId="12" xfId="52" applyNumberFormat="1" applyFont="1" applyFill="1" applyBorder="1" applyAlignment="1" applyProtection="1">
      <alignment horizontal="center" vertical="center"/>
      <protection locked="0"/>
    </xf>
    <xf numFmtId="3" fontId="2" fillId="34" borderId="12" xfId="0" applyNumberFormat="1" applyFont="1" applyFill="1" applyBorder="1" applyAlignment="1">
      <alignment/>
    </xf>
    <xf numFmtId="10" fontId="2" fillId="34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8" fillId="35" borderId="0" xfId="0" applyFont="1" applyFill="1" applyAlignment="1">
      <alignment/>
    </xf>
    <xf numFmtId="3" fontId="3" fillId="35" borderId="0" xfId="0" applyNumberFormat="1" applyFont="1" applyFill="1" applyAlignment="1">
      <alignment/>
    </xf>
    <xf numFmtId="10" fontId="3" fillId="35" borderId="0" xfId="0" applyNumberFormat="1" applyFont="1" applyFill="1" applyBorder="1" applyAlignment="1">
      <alignment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3" fontId="3" fillId="35" borderId="0" xfId="0" applyNumberFormat="1" applyFont="1" applyFill="1" applyAlignment="1" applyProtection="1">
      <alignment/>
      <protection locked="0"/>
    </xf>
    <xf numFmtId="3" fontId="3" fillId="35" borderId="0" xfId="0" applyNumberFormat="1" applyFont="1" applyFill="1" applyAlignment="1" applyProtection="1">
      <alignment/>
      <protection/>
    </xf>
    <xf numFmtId="0" fontId="0" fillId="34" borderId="0" xfId="0" applyFill="1" applyAlignment="1">
      <alignment/>
    </xf>
    <xf numFmtId="3" fontId="2" fillId="34" borderId="11" xfId="0" applyNumberFormat="1" applyFont="1" applyFill="1" applyBorder="1" applyAlignment="1">
      <alignment horizontal="right"/>
    </xf>
    <xf numFmtId="3" fontId="2" fillId="34" borderId="11" xfId="0" applyNumberFormat="1" applyFont="1" applyFill="1" applyBorder="1" applyAlignment="1" applyProtection="1">
      <alignment horizontal="right"/>
      <protection locked="0"/>
    </xf>
    <xf numFmtId="0" fontId="0" fillId="34" borderId="11" xfId="0" applyFill="1" applyBorder="1" applyAlignment="1">
      <alignment/>
    </xf>
    <xf numFmtId="0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196" fontId="3" fillId="35" borderId="10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/>
    </xf>
    <xf numFmtId="3" fontId="0" fillId="33" borderId="0" xfId="0" applyNumberFormat="1" applyFont="1" applyFill="1" applyAlignment="1">
      <alignment horizontal="left" wrapText="1"/>
    </xf>
    <xf numFmtId="3" fontId="3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 wrapText="1"/>
    </xf>
    <xf numFmtId="3" fontId="0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/>
    </xf>
    <xf numFmtId="3" fontId="0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3" fontId="3" fillId="33" borderId="0" xfId="0" applyNumberFormat="1" applyFont="1" applyFill="1" applyAlignment="1">
      <alignment horizontal="left" wrapText="1"/>
    </xf>
    <xf numFmtId="0" fontId="2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wrapText="1"/>
    </xf>
    <xf numFmtId="3" fontId="2" fillId="34" borderId="12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left" wrapText="1"/>
    </xf>
    <xf numFmtId="3" fontId="2" fillId="34" borderId="12" xfId="0" applyNumberFormat="1" applyFont="1" applyFill="1" applyBorder="1" applyAlignment="1">
      <alignment horizontal="right"/>
    </xf>
    <xf numFmtId="0" fontId="3" fillId="34" borderId="0" xfId="0" applyFont="1" applyFill="1" applyAlignment="1">
      <alignment/>
    </xf>
    <xf numFmtId="1" fontId="2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Fill="1" applyAlignment="1">
      <alignment horizontal="right"/>
    </xf>
    <xf numFmtId="196" fontId="3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Alignment="1">
      <alignment/>
    </xf>
    <xf numFmtId="3" fontId="3" fillId="0" borderId="0" xfId="48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3" fontId="3" fillId="0" borderId="0" xfId="48" applyNumberFormat="1" applyFont="1" applyFill="1" applyBorder="1" applyAlignment="1">
      <alignment horizontal="right"/>
    </xf>
    <xf numFmtId="3" fontId="3" fillId="0" borderId="0" xfId="0" applyNumberFormat="1" applyFont="1" applyFill="1" applyAlignment="1" applyProtection="1">
      <alignment/>
      <protection/>
    </xf>
    <xf numFmtId="0" fontId="3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0" fillId="37" borderId="0" xfId="0" applyFill="1" applyAlignment="1">
      <alignment/>
    </xf>
    <xf numFmtId="1" fontId="3" fillId="35" borderId="0" xfId="0" applyNumberFormat="1" applyFont="1" applyFill="1" applyAlignment="1" applyProtection="1">
      <alignment horizontal="left"/>
      <protection locked="0"/>
    </xf>
    <xf numFmtId="196" fontId="3" fillId="35" borderId="0" xfId="0" applyNumberFormat="1" applyFont="1" applyFill="1" applyAlignment="1">
      <alignment/>
    </xf>
    <xf numFmtId="3" fontId="3" fillId="35" borderId="0" xfId="0" applyNumberFormat="1" applyFont="1" applyFill="1" applyAlignment="1" applyProtection="1" quotePrefix="1">
      <alignment horizontal="right"/>
      <protection locked="0"/>
    </xf>
    <xf numFmtId="1" fontId="2" fillId="36" borderId="0" xfId="0" applyNumberFormat="1" applyFont="1" applyFill="1" applyAlignment="1" applyProtection="1">
      <alignment horizontal="left"/>
      <protection locked="0"/>
    </xf>
    <xf numFmtId="3" fontId="2" fillId="36" borderId="0" xfId="0" applyNumberFormat="1" applyFont="1" applyFill="1" applyAlignment="1" applyProtection="1">
      <alignment/>
      <protection locked="0"/>
    </xf>
    <xf numFmtId="3" fontId="2" fillId="36" borderId="0" xfId="0" applyNumberFormat="1" applyFont="1" applyFill="1" applyAlignment="1">
      <alignment/>
    </xf>
    <xf numFmtId="196" fontId="2" fillId="36" borderId="0" xfId="0" applyNumberFormat="1" applyFont="1" applyFill="1" applyAlignment="1">
      <alignment/>
    </xf>
    <xf numFmtId="196" fontId="3" fillId="0" borderId="10" xfId="0" applyNumberFormat="1" applyFont="1" applyFill="1" applyBorder="1" applyAlignment="1">
      <alignment/>
    </xf>
    <xf numFmtId="1" fontId="3" fillId="38" borderId="10" xfId="0" applyNumberFormat="1" applyFont="1" applyFill="1" applyBorder="1" applyAlignment="1" applyProtection="1">
      <alignment horizontal="left"/>
      <protection locked="0"/>
    </xf>
    <xf numFmtId="196" fontId="3" fillId="38" borderId="10" xfId="0" applyNumberFormat="1" applyFont="1" applyFill="1" applyBorder="1" applyAlignment="1" applyProtection="1">
      <alignment/>
      <protection locked="0"/>
    </xf>
    <xf numFmtId="3" fontId="0" fillId="37" borderId="0" xfId="0" applyNumberFormat="1" applyFont="1" applyFill="1" applyAlignment="1">
      <alignment horizontal="left" vertical="center"/>
    </xf>
    <xf numFmtId="0" fontId="0" fillId="37" borderId="0" xfId="0" applyFont="1" applyFill="1" applyAlignment="1">
      <alignment horizontal="left" vertical="center" wrapText="1"/>
    </xf>
    <xf numFmtId="3" fontId="0" fillId="37" borderId="0" xfId="0" applyNumberFormat="1" applyFont="1" applyFill="1" applyAlignment="1">
      <alignment horizontal="left" vertical="center" wrapText="1"/>
    </xf>
    <xf numFmtId="0" fontId="3" fillId="37" borderId="0" xfId="0" applyFont="1" applyFill="1" applyAlignment="1">
      <alignment/>
    </xf>
    <xf numFmtId="0" fontId="0" fillId="37" borderId="0" xfId="0" applyFont="1" applyFill="1" applyAlignment="1">
      <alignment horizontal="left" vertical="center"/>
    </xf>
    <xf numFmtId="0" fontId="3" fillId="34" borderId="0" xfId="0" applyFont="1" applyFill="1" applyAlignment="1">
      <alignment/>
    </xf>
    <xf numFmtId="0" fontId="8" fillId="34" borderId="0" xfId="0" applyFont="1" applyFill="1" applyAlignment="1">
      <alignment/>
    </xf>
    <xf numFmtId="3" fontId="3" fillId="34" borderId="0" xfId="0" applyNumberFormat="1" applyFont="1" applyFill="1" applyAlignment="1">
      <alignment horizontal="right"/>
    </xf>
    <xf numFmtId="0" fontId="8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 horizontal="left" wrapText="1"/>
    </xf>
    <xf numFmtId="3" fontId="3" fillId="34" borderId="0" xfId="0" applyNumberFormat="1" applyFont="1" applyFill="1" applyAlignment="1">
      <alignment/>
    </xf>
    <xf numFmtId="196" fontId="3" fillId="34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3" fontId="3" fillId="34" borderId="0" xfId="0" applyNumberFormat="1" applyFont="1" applyFill="1" applyAlignment="1">
      <alignment horizontal="right"/>
    </xf>
    <xf numFmtId="3" fontId="3" fillId="34" borderId="0" xfId="0" applyNumberFormat="1" applyFont="1" applyFill="1" applyAlignment="1" quotePrefix="1">
      <alignment horizontal="right"/>
    </xf>
    <xf numFmtId="0" fontId="2" fillId="38" borderId="12" xfId="0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196" fontId="2" fillId="38" borderId="12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196" fontId="53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196" fontId="3" fillId="34" borderId="0" xfId="0" applyNumberFormat="1" applyFont="1" applyFill="1" applyAlignment="1">
      <alignment/>
    </xf>
    <xf numFmtId="196" fontId="3" fillId="35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8" fillId="37" borderId="0" xfId="0" applyFont="1" applyFill="1" applyBorder="1" applyAlignment="1">
      <alignment/>
    </xf>
    <xf numFmtId="3" fontId="3" fillId="37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0" xfId="0" applyFont="1" applyFill="1" applyBorder="1" applyAlignment="1">
      <alignment/>
    </xf>
    <xf numFmtId="3" fontId="2" fillId="37" borderId="0" xfId="0" applyNumberFormat="1" applyFont="1" applyFill="1" applyBorder="1" applyAlignment="1">
      <alignment/>
    </xf>
    <xf numFmtId="3" fontId="54" fillId="0" borderId="0" xfId="0" applyNumberFormat="1" applyFont="1" applyFill="1" applyAlignment="1" applyProtection="1">
      <alignment/>
      <protection locked="0"/>
    </xf>
    <xf numFmtId="3" fontId="54" fillId="0" borderId="0" xfId="0" applyNumberFormat="1" applyFont="1" applyFill="1" applyAlignment="1">
      <alignment/>
    </xf>
    <xf numFmtId="3" fontId="54" fillId="35" borderId="0" xfId="0" applyNumberFormat="1" applyFont="1" applyFill="1" applyAlignment="1">
      <alignment/>
    </xf>
    <xf numFmtId="3" fontId="55" fillId="36" borderId="0" xfId="0" applyNumberFormat="1" applyFont="1" applyFill="1" applyAlignment="1" applyProtection="1">
      <alignment/>
      <protection locked="0"/>
    </xf>
    <xf numFmtId="3" fontId="55" fillId="36" borderId="0" xfId="0" applyNumberFormat="1" applyFont="1" applyFill="1" applyAlignment="1">
      <alignment/>
    </xf>
    <xf numFmtId="196" fontId="54" fillId="38" borderId="10" xfId="0" applyNumberFormat="1" applyFont="1" applyFill="1" applyBorder="1" applyAlignment="1" applyProtection="1">
      <alignment/>
      <protection locked="0"/>
    </xf>
    <xf numFmtId="0" fontId="54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6" fillId="33" borderId="0" xfId="0" applyFont="1" applyFill="1" applyAlignment="1">
      <alignment horizontal="left" wrapText="1"/>
    </xf>
    <xf numFmtId="0" fontId="57" fillId="33" borderId="0" xfId="0" applyFont="1" applyFill="1" applyAlignment="1">
      <alignment/>
    </xf>
    <xf numFmtId="3" fontId="53" fillId="33" borderId="0" xfId="0" applyNumberFormat="1" applyFont="1" applyFill="1" applyAlignment="1">
      <alignment horizontal="right"/>
    </xf>
    <xf numFmtId="3" fontId="56" fillId="33" borderId="0" xfId="0" applyNumberFormat="1" applyFont="1" applyFill="1" applyAlignment="1">
      <alignment horizontal="left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56" fillId="37" borderId="0" xfId="0" applyFont="1" applyFill="1" applyBorder="1" applyAlignment="1">
      <alignment/>
    </xf>
    <xf numFmtId="3" fontId="56" fillId="37" borderId="0" xfId="0" applyNumberFormat="1" applyFont="1" applyFill="1" applyBorder="1" applyAlignment="1">
      <alignment horizontal="right"/>
    </xf>
    <xf numFmtId="0" fontId="58" fillId="37" borderId="0" xfId="0" applyFont="1" applyFill="1" applyBorder="1" applyAlignment="1">
      <alignment horizontal="left" wrapText="1"/>
    </xf>
    <xf numFmtId="3" fontId="58" fillId="37" borderId="0" xfId="0" applyNumberFormat="1" applyFont="1" applyFill="1" applyBorder="1" applyAlignment="1">
      <alignment horizontal="right"/>
    </xf>
    <xf numFmtId="0" fontId="2" fillId="37" borderId="0" xfId="0" applyFont="1" applyFill="1" applyBorder="1" applyAlignment="1">
      <alignment horizontal="left" wrapText="1"/>
    </xf>
    <xf numFmtId="3" fontId="2" fillId="37" borderId="0" xfId="0" applyNumberFormat="1" applyFont="1" applyFill="1" applyBorder="1" applyAlignment="1">
      <alignment horizontal="right"/>
    </xf>
    <xf numFmtId="3" fontId="0" fillId="37" borderId="0" xfId="0" applyNumberFormat="1" applyFont="1" applyFill="1" applyBorder="1" applyAlignment="1">
      <alignment horizontal="left" wrapText="1"/>
    </xf>
    <xf numFmtId="3" fontId="0" fillId="37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Alignment="1">
      <alignment wrapText="1"/>
    </xf>
    <xf numFmtId="3" fontId="2" fillId="34" borderId="10" xfId="0" applyNumberFormat="1" applyFont="1" applyFill="1" applyBorder="1" applyAlignment="1" applyProtection="1">
      <alignment horizontal="center"/>
      <protection locked="0"/>
    </xf>
    <xf numFmtId="3" fontId="2" fillId="34" borderId="11" xfId="0" applyNumberFormat="1" applyFont="1" applyFill="1" applyBorder="1" applyAlignment="1" applyProtection="1">
      <alignment horizontal="center"/>
      <protection locked="0"/>
    </xf>
    <xf numFmtId="3" fontId="2" fillId="34" borderId="12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59" fillId="37" borderId="0" xfId="0" applyFont="1" applyFill="1" applyAlignment="1">
      <alignment horizontal="left" vertical="center" wrapText="1"/>
    </xf>
    <xf numFmtId="0" fontId="4" fillId="16" borderId="12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 vertical="justify"/>
    </xf>
    <xf numFmtId="0" fontId="2" fillId="38" borderId="10" xfId="0" applyFont="1" applyFill="1" applyBorder="1" applyAlignment="1">
      <alignment horizontal="center" vertical="justify"/>
    </xf>
  </cellXfs>
  <cellStyles count="50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EPA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6"/>
  <sheetViews>
    <sheetView showGridLines="0" tabSelected="1" zoomScalePageLayoutView="0" workbookViewId="0" topLeftCell="A1">
      <selection activeCell="K45" sqref="K45"/>
    </sheetView>
  </sheetViews>
  <sheetFormatPr defaultColWidth="11.421875" defaultRowHeight="12.75"/>
  <cols>
    <col min="1" max="1" width="9.140625" style="58" customWidth="1"/>
    <col min="2" max="2" width="93.421875" style="58" customWidth="1"/>
    <col min="3" max="16384" width="11.421875" style="58" customWidth="1"/>
  </cols>
  <sheetData>
    <row r="1" spans="1:2" ht="18">
      <c r="A1" s="92" t="s">
        <v>113</v>
      </c>
      <c r="B1" s="92" t="s">
        <v>86</v>
      </c>
    </row>
    <row r="2" ht="15">
      <c r="B2" s="93"/>
    </row>
    <row r="3" spans="1:2" s="5" customFormat="1" ht="19.5" customHeight="1">
      <c r="A3" s="5" t="s">
        <v>114</v>
      </c>
      <c r="B3" s="159" t="s">
        <v>232</v>
      </c>
    </row>
    <row r="4" spans="1:2" s="5" customFormat="1" ht="19.5" customHeight="1">
      <c r="A4" s="5" t="s">
        <v>115</v>
      </c>
      <c r="B4" s="159" t="s">
        <v>231</v>
      </c>
    </row>
    <row r="5" spans="1:2" s="5" customFormat="1" ht="19.5" customHeight="1">
      <c r="A5" s="5" t="s">
        <v>116</v>
      </c>
      <c r="B5" s="159" t="s">
        <v>237</v>
      </c>
    </row>
    <row r="6" spans="1:2" s="5" customFormat="1" ht="19.5" customHeight="1">
      <c r="A6" s="5" t="s">
        <v>117</v>
      </c>
      <c r="B6" s="159" t="s">
        <v>247</v>
      </c>
    </row>
    <row r="7" spans="1:2" s="5" customFormat="1" ht="19.5" customHeight="1">
      <c r="A7" s="5" t="s">
        <v>118</v>
      </c>
      <c r="B7" s="159" t="s">
        <v>248</v>
      </c>
    </row>
    <row r="8" spans="1:2" s="5" customFormat="1" ht="19.5" customHeight="1">
      <c r="A8" s="5" t="s">
        <v>119</v>
      </c>
      <c r="B8" s="159" t="s">
        <v>253</v>
      </c>
    </row>
    <row r="9" spans="1:2" s="5" customFormat="1" ht="19.5" customHeight="1">
      <c r="A9" s="94" t="s">
        <v>120</v>
      </c>
      <c r="B9" s="94" t="s">
        <v>255</v>
      </c>
    </row>
    <row r="10" spans="1:2" s="5" customFormat="1" ht="19.5" customHeight="1">
      <c r="A10" s="5" t="s">
        <v>121</v>
      </c>
      <c r="B10" s="159" t="s">
        <v>249</v>
      </c>
    </row>
    <row r="11" spans="1:2" s="5" customFormat="1" ht="19.5" customHeight="1">
      <c r="A11" s="5" t="s">
        <v>122</v>
      </c>
      <c r="B11" s="159" t="s">
        <v>250</v>
      </c>
    </row>
    <row r="12" spans="1:2" s="5" customFormat="1" ht="19.5" customHeight="1">
      <c r="A12" s="5" t="s">
        <v>123</v>
      </c>
      <c r="B12" s="159" t="s">
        <v>273</v>
      </c>
    </row>
    <row r="13" spans="1:2" s="5" customFormat="1" ht="19.5" customHeight="1">
      <c r="A13" s="5" t="s">
        <v>124</v>
      </c>
      <c r="B13" s="159" t="s">
        <v>274</v>
      </c>
    </row>
    <row r="14" spans="1:2" s="5" customFormat="1" ht="19.5" customHeight="1">
      <c r="A14" s="94" t="s">
        <v>125</v>
      </c>
      <c r="B14" s="159" t="s">
        <v>312</v>
      </c>
    </row>
    <row r="15" spans="1:2" s="5" customFormat="1" ht="19.5" customHeight="1">
      <c r="A15" s="94" t="s">
        <v>126</v>
      </c>
      <c r="B15" s="159" t="s">
        <v>313</v>
      </c>
    </row>
    <row r="16" spans="1:2" s="5" customFormat="1" ht="19.5" customHeight="1">
      <c r="A16" s="5" t="s">
        <v>127</v>
      </c>
      <c r="B16" s="159" t="s">
        <v>238</v>
      </c>
    </row>
    <row r="17" spans="1:2" s="5" customFormat="1" ht="19.5" customHeight="1">
      <c r="A17" s="5" t="s">
        <v>128</v>
      </c>
      <c r="B17" s="159" t="s">
        <v>239</v>
      </c>
    </row>
    <row r="18" spans="1:2" s="5" customFormat="1" ht="19.5" customHeight="1">
      <c r="A18" s="5" t="s">
        <v>129</v>
      </c>
      <c r="B18" s="159" t="s">
        <v>240</v>
      </c>
    </row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pans="1:2" ht="15">
      <c r="A256" s="5"/>
      <c r="B256" s="5"/>
    </row>
  </sheetData>
  <sheetProtection/>
  <printOptions/>
  <pageMargins left="0.1968503937007874" right="0.75" top="0.5511811023622047" bottom="0.984251968503937" header="0" footer="0"/>
  <pageSetup fitToHeight="1" fitToWidth="1"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PageLayoutView="0" workbookViewId="0" topLeftCell="A13">
      <selection activeCell="K45" sqref="K45"/>
    </sheetView>
  </sheetViews>
  <sheetFormatPr defaultColWidth="11.421875" defaultRowHeight="12.75"/>
  <cols>
    <col min="1" max="4" width="8.7109375" style="0" customWidth="1"/>
    <col min="5" max="5" width="1.7109375" style="0" customWidth="1"/>
    <col min="6" max="8" width="8.7109375" style="0" customWidth="1"/>
    <col min="9" max="9" width="1.7109375" style="0" customWidth="1"/>
    <col min="10" max="12" width="8.7109375" style="0" customWidth="1"/>
  </cols>
  <sheetData>
    <row r="1" spans="1:12" ht="15">
      <c r="A1" s="1" t="s">
        <v>246</v>
      </c>
      <c r="B1" s="2"/>
      <c r="C1" s="2"/>
      <c r="D1" s="2"/>
      <c r="E1" s="3"/>
      <c r="F1" s="2"/>
      <c r="G1" s="2"/>
      <c r="H1" s="2"/>
      <c r="I1" s="3"/>
      <c r="J1" s="2"/>
      <c r="K1" s="2"/>
      <c r="L1" s="2"/>
    </row>
    <row r="2" spans="1:12" ht="15">
      <c r="A2" s="1"/>
      <c r="B2" s="2"/>
      <c r="C2" s="2"/>
      <c r="D2" s="2"/>
      <c r="E2" s="3"/>
      <c r="F2" s="2"/>
      <c r="G2" s="2"/>
      <c r="H2" s="2"/>
      <c r="I2" s="3"/>
      <c r="J2" s="2"/>
      <c r="K2" s="2"/>
      <c r="L2" s="2"/>
    </row>
    <row r="3" spans="1:12" ht="12.75">
      <c r="A3" s="36"/>
      <c r="B3" s="18"/>
      <c r="C3" s="18"/>
      <c r="D3" s="18"/>
      <c r="E3" s="19"/>
      <c r="F3" s="18"/>
      <c r="G3" s="18"/>
      <c r="H3" s="18"/>
      <c r="I3" s="19"/>
      <c r="J3" s="18"/>
      <c r="K3" s="18"/>
      <c r="L3" s="18"/>
    </row>
    <row r="4" spans="1:12" ht="12.75">
      <c r="A4" s="196"/>
      <c r="B4" s="197" t="s">
        <v>0</v>
      </c>
      <c r="C4" s="197"/>
      <c r="D4" s="197"/>
      <c r="E4" s="198"/>
      <c r="F4" s="197" t="s">
        <v>7</v>
      </c>
      <c r="G4" s="197"/>
      <c r="H4" s="197"/>
      <c r="I4" s="198"/>
      <c r="J4" s="197" t="s">
        <v>10</v>
      </c>
      <c r="K4" s="197"/>
      <c r="L4" s="197"/>
    </row>
    <row r="5" spans="1:12" ht="12.75">
      <c r="A5" s="199"/>
      <c r="B5" s="200" t="s">
        <v>11</v>
      </c>
      <c r="C5" s="200" t="s">
        <v>12</v>
      </c>
      <c r="D5" s="200"/>
      <c r="E5" s="201"/>
      <c r="F5" s="200" t="s">
        <v>11</v>
      </c>
      <c r="G5" s="200" t="s">
        <v>12</v>
      </c>
      <c r="H5" s="200"/>
      <c r="I5" s="201"/>
      <c r="J5" s="200" t="s">
        <v>11</v>
      </c>
      <c r="K5" s="200" t="s">
        <v>12</v>
      </c>
      <c r="L5" s="200"/>
    </row>
    <row r="6" spans="1:12" ht="12.75">
      <c r="A6" s="189"/>
      <c r="B6" s="185" t="s">
        <v>13</v>
      </c>
      <c r="C6" s="185" t="s">
        <v>13</v>
      </c>
      <c r="D6" s="185" t="s">
        <v>1</v>
      </c>
      <c r="E6" s="187"/>
      <c r="F6" s="185" t="s">
        <v>13</v>
      </c>
      <c r="G6" s="185" t="s">
        <v>13</v>
      </c>
      <c r="H6" s="185" t="s">
        <v>1</v>
      </c>
      <c r="I6" s="187"/>
      <c r="J6" s="185" t="s">
        <v>13</v>
      </c>
      <c r="K6" s="185" t="s">
        <v>13</v>
      </c>
      <c r="L6" s="185" t="s">
        <v>1</v>
      </c>
    </row>
    <row r="7" spans="1:12" ht="12.75">
      <c r="A7" s="17"/>
      <c r="B7" s="18"/>
      <c r="C7" s="18"/>
      <c r="D7" s="18"/>
      <c r="E7" s="19"/>
      <c r="F7" s="18"/>
      <c r="G7" s="18"/>
      <c r="H7" s="18"/>
      <c r="I7" s="19"/>
      <c r="J7" s="18"/>
      <c r="K7" s="18"/>
      <c r="L7" s="18"/>
    </row>
    <row r="8" spans="1:12" ht="12.75" hidden="1">
      <c r="A8" s="21">
        <v>1986</v>
      </c>
      <c r="B8" s="22">
        <v>519</v>
      </c>
      <c r="C8" s="22">
        <v>1707</v>
      </c>
      <c r="D8" s="22">
        <v>2226</v>
      </c>
      <c r="E8" s="23"/>
      <c r="F8" s="22">
        <v>8538</v>
      </c>
      <c r="G8" s="22">
        <v>229431</v>
      </c>
      <c r="H8" s="22">
        <v>237969</v>
      </c>
      <c r="I8" s="23"/>
      <c r="J8" s="22">
        <v>16</v>
      </c>
      <c r="K8" s="42" t="s">
        <v>9</v>
      </c>
      <c r="L8" s="22">
        <v>16</v>
      </c>
    </row>
    <row r="9" spans="1:12" ht="12.75">
      <c r="A9" s="21">
        <v>1987</v>
      </c>
      <c r="B9" s="22">
        <v>124</v>
      </c>
      <c r="C9" s="22">
        <v>2572</v>
      </c>
      <c r="D9" s="22">
        <v>2696</v>
      </c>
      <c r="E9" s="23"/>
      <c r="F9" s="22">
        <v>1572</v>
      </c>
      <c r="G9" s="22">
        <v>338454</v>
      </c>
      <c r="H9" s="22">
        <v>340026</v>
      </c>
      <c r="I9" s="23"/>
      <c r="J9" s="22">
        <v>2</v>
      </c>
      <c r="K9" s="42">
        <v>0</v>
      </c>
      <c r="L9" s="22">
        <v>2</v>
      </c>
    </row>
    <row r="10" spans="1:12" ht="12.75">
      <c r="A10" s="195">
        <v>1988</v>
      </c>
      <c r="B10" s="191">
        <v>0</v>
      </c>
      <c r="C10" s="236">
        <v>2701</v>
      </c>
      <c r="D10" s="236">
        <v>2701</v>
      </c>
      <c r="E10" s="232"/>
      <c r="F10" s="191">
        <v>0</v>
      </c>
      <c r="G10" s="236">
        <v>391015</v>
      </c>
      <c r="H10" s="236">
        <v>391015</v>
      </c>
      <c r="I10" s="232"/>
      <c r="J10" s="191">
        <v>0</v>
      </c>
      <c r="K10" s="191">
        <v>0</v>
      </c>
      <c r="L10" s="191">
        <v>0</v>
      </c>
    </row>
    <row r="11" spans="1:12" ht="12.75">
      <c r="A11" s="21">
        <v>1989</v>
      </c>
      <c r="B11" s="42">
        <v>0</v>
      </c>
      <c r="C11" s="22">
        <v>2336</v>
      </c>
      <c r="D11" s="22">
        <v>2336</v>
      </c>
      <c r="E11" s="23"/>
      <c r="F11" s="42">
        <v>0</v>
      </c>
      <c r="G11" s="22">
        <v>276473</v>
      </c>
      <c r="H11" s="42">
        <v>0</v>
      </c>
      <c r="I11" s="23"/>
      <c r="J11" s="42">
        <v>0</v>
      </c>
      <c r="K11" s="42">
        <v>0</v>
      </c>
      <c r="L11" s="42">
        <v>0</v>
      </c>
    </row>
    <row r="12" spans="1:12" ht="12.75">
      <c r="A12" s="195">
        <v>1990</v>
      </c>
      <c r="B12" s="191">
        <v>0</v>
      </c>
      <c r="C12" s="236">
        <v>1025</v>
      </c>
      <c r="D12" s="236">
        <v>1025</v>
      </c>
      <c r="E12" s="232"/>
      <c r="F12" s="191">
        <v>0</v>
      </c>
      <c r="G12" s="236">
        <v>89030</v>
      </c>
      <c r="H12" s="236">
        <v>89030</v>
      </c>
      <c r="I12" s="232"/>
      <c r="J12" s="191">
        <v>0</v>
      </c>
      <c r="K12" s="236">
        <v>16</v>
      </c>
      <c r="L12" s="236">
        <v>16</v>
      </c>
    </row>
    <row r="13" spans="1:12" ht="12.75">
      <c r="A13" s="21">
        <v>1991</v>
      </c>
      <c r="B13" s="42">
        <v>0</v>
      </c>
      <c r="C13" s="22">
        <v>975</v>
      </c>
      <c r="D13" s="22">
        <v>975</v>
      </c>
      <c r="E13" s="23"/>
      <c r="F13" s="42">
        <v>0</v>
      </c>
      <c r="G13" s="22">
        <v>91730</v>
      </c>
      <c r="H13" s="22">
        <v>91730</v>
      </c>
      <c r="I13" s="23"/>
      <c r="J13" s="42">
        <v>0</v>
      </c>
      <c r="K13" s="22">
        <v>1</v>
      </c>
      <c r="L13" s="22">
        <v>1</v>
      </c>
    </row>
    <row r="14" spans="1:12" ht="12.75">
      <c r="A14" s="195">
        <v>1992</v>
      </c>
      <c r="B14" s="191">
        <v>0</v>
      </c>
      <c r="C14" s="236">
        <v>966</v>
      </c>
      <c r="D14" s="236">
        <v>966</v>
      </c>
      <c r="E14" s="232"/>
      <c r="F14" s="191">
        <v>0</v>
      </c>
      <c r="G14" s="236">
        <v>99994</v>
      </c>
      <c r="H14" s="236">
        <v>99994</v>
      </c>
      <c r="I14" s="232"/>
      <c r="J14" s="191">
        <v>0</v>
      </c>
      <c r="K14" s="236">
        <v>10</v>
      </c>
      <c r="L14" s="236">
        <v>10</v>
      </c>
    </row>
    <row r="15" spans="1:12" ht="12.75">
      <c r="A15" s="21">
        <v>1993</v>
      </c>
      <c r="B15" s="42">
        <v>0</v>
      </c>
      <c r="C15" s="22">
        <v>794</v>
      </c>
      <c r="D15" s="22">
        <v>794</v>
      </c>
      <c r="E15" s="23"/>
      <c r="F15" s="42">
        <v>0</v>
      </c>
      <c r="G15" s="22">
        <v>103136</v>
      </c>
      <c r="H15" s="22">
        <v>103136</v>
      </c>
      <c r="I15" s="23"/>
      <c r="J15" s="42">
        <v>0</v>
      </c>
      <c r="K15" s="42">
        <v>0</v>
      </c>
      <c r="L15" s="42">
        <v>0</v>
      </c>
    </row>
    <row r="16" spans="1:12" ht="12.75">
      <c r="A16" s="195">
        <v>1994</v>
      </c>
      <c r="B16" s="191">
        <v>4</v>
      </c>
      <c r="C16" s="236">
        <v>1916</v>
      </c>
      <c r="D16" s="236">
        <v>1920</v>
      </c>
      <c r="E16" s="232"/>
      <c r="F16" s="191">
        <v>0</v>
      </c>
      <c r="G16" s="236">
        <v>315305</v>
      </c>
      <c r="H16" s="236">
        <v>315305</v>
      </c>
      <c r="I16" s="232"/>
      <c r="J16" s="191">
        <v>0</v>
      </c>
      <c r="K16" s="191">
        <v>0</v>
      </c>
      <c r="L16" s="191">
        <v>0</v>
      </c>
    </row>
    <row r="17" spans="1:12" ht="12.75">
      <c r="A17" s="21">
        <v>1995</v>
      </c>
      <c r="B17" s="42">
        <v>890</v>
      </c>
      <c r="C17" s="22">
        <v>3253</v>
      </c>
      <c r="D17" s="22">
        <v>4143</v>
      </c>
      <c r="E17" s="23"/>
      <c r="F17" s="42">
        <v>16738</v>
      </c>
      <c r="G17" s="22">
        <v>458045</v>
      </c>
      <c r="H17" s="22">
        <v>474783</v>
      </c>
      <c r="I17" s="23"/>
      <c r="J17" s="42">
        <v>0</v>
      </c>
      <c r="K17" s="42">
        <v>0</v>
      </c>
      <c r="L17" s="42">
        <v>0</v>
      </c>
    </row>
    <row r="18" spans="1:12" ht="12.75">
      <c r="A18" s="195">
        <v>1996</v>
      </c>
      <c r="B18" s="191">
        <v>1084</v>
      </c>
      <c r="C18" s="236">
        <v>2810</v>
      </c>
      <c r="D18" s="236">
        <v>3894</v>
      </c>
      <c r="E18" s="232"/>
      <c r="F18" s="191">
        <v>24935</v>
      </c>
      <c r="G18" s="236">
        <v>425493</v>
      </c>
      <c r="H18" s="236">
        <v>450428</v>
      </c>
      <c r="I18" s="232"/>
      <c r="J18" s="191">
        <v>0</v>
      </c>
      <c r="K18" s="191">
        <v>65</v>
      </c>
      <c r="L18" s="191">
        <v>65</v>
      </c>
    </row>
    <row r="19" spans="1:12" ht="12.75">
      <c r="A19" s="21">
        <v>1997</v>
      </c>
      <c r="B19" s="42">
        <f>1138+58</f>
        <v>1196</v>
      </c>
      <c r="C19" s="22">
        <f>137+2785</f>
        <v>2922</v>
      </c>
      <c r="D19" s="22">
        <f aca="true" t="shared" si="0" ref="D19:D32">B19+C19</f>
        <v>4118</v>
      </c>
      <c r="E19" s="23"/>
      <c r="F19" s="42">
        <f>30592+1691</f>
        <v>32283</v>
      </c>
      <c r="G19" s="22">
        <f>489+484964</f>
        <v>485453</v>
      </c>
      <c r="H19" s="22">
        <f aca="true" t="shared" si="1" ref="H19:H34">F19+G19</f>
        <v>517736</v>
      </c>
      <c r="I19" s="23"/>
      <c r="J19" s="42">
        <v>20</v>
      </c>
      <c r="K19" s="42">
        <v>0</v>
      </c>
      <c r="L19" s="42">
        <v>20</v>
      </c>
    </row>
    <row r="20" spans="1:12" ht="12.75">
      <c r="A20" s="195">
        <v>1998</v>
      </c>
      <c r="B20" s="191">
        <f>926+115</f>
        <v>1041</v>
      </c>
      <c r="C20" s="236">
        <f>82+3056</f>
        <v>3138</v>
      </c>
      <c r="D20" s="236">
        <f t="shared" si="0"/>
        <v>4179</v>
      </c>
      <c r="E20" s="232"/>
      <c r="F20" s="191">
        <f>24738+8288</f>
        <v>33026</v>
      </c>
      <c r="G20" s="236">
        <f>1011+522409</f>
        <v>523420</v>
      </c>
      <c r="H20" s="236">
        <f t="shared" si="1"/>
        <v>556446</v>
      </c>
      <c r="I20" s="232"/>
      <c r="J20" s="191">
        <f>0</f>
        <v>0</v>
      </c>
      <c r="K20" s="191">
        <v>1</v>
      </c>
      <c r="L20" s="191">
        <f aca="true" t="shared" si="2" ref="L20:L25">SUM(J20:K20)</f>
        <v>1</v>
      </c>
    </row>
    <row r="21" spans="1:12" ht="12.75">
      <c r="A21" s="21">
        <v>1999</v>
      </c>
      <c r="B21" s="42">
        <f>903+187</f>
        <v>1090</v>
      </c>
      <c r="C21" s="22">
        <f>117+3232</f>
        <v>3349</v>
      </c>
      <c r="D21" s="22">
        <f t="shared" si="0"/>
        <v>4439</v>
      </c>
      <c r="E21" s="23"/>
      <c r="F21" s="42">
        <f>24694+19137</f>
        <v>43831</v>
      </c>
      <c r="G21" s="22">
        <f>1444+572144</f>
        <v>573588</v>
      </c>
      <c r="H21" s="22">
        <f t="shared" si="1"/>
        <v>617419</v>
      </c>
      <c r="I21" s="23"/>
      <c r="J21" s="42">
        <v>0</v>
      </c>
      <c r="K21" s="42">
        <v>0</v>
      </c>
      <c r="L21" s="42">
        <f t="shared" si="2"/>
        <v>0</v>
      </c>
    </row>
    <row r="22" spans="1:12" ht="12.75">
      <c r="A22" s="195">
        <v>2000</v>
      </c>
      <c r="B22" s="232">
        <f>975+338</f>
        <v>1313</v>
      </c>
      <c r="C22" s="232">
        <f>111+3520</f>
        <v>3631</v>
      </c>
      <c r="D22" s="236">
        <f t="shared" si="0"/>
        <v>4944</v>
      </c>
      <c r="E22" s="235"/>
      <c r="F22" s="232">
        <f>23874+34858</f>
        <v>58732</v>
      </c>
      <c r="G22" s="232">
        <f>923+626627</f>
        <v>627550</v>
      </c>
      <c r="H22" s="236">
        <f t="shared" si="1"/>
        <v>686282</v>
      </c>
      <c r="I22" s="235"/>
      <c r="J22" s="232">
        <f>0.795</f>
        <v>0.795</v>
      </c>
      <c r="K22" s="232">
        <f>14.531</f>
        <v>14.531</v>
      </c>
      <c r="L22" s="191">
        <f t="shared" si="2"/>
        <v>15.326</v>
      </c>
    </row>
    <row r="23" spans="1:12" ht="12.75">
      <c r="A23" s="21">
        <v>2001</v>
      </c>
      <c r="B23" s="62">
        <f>963+306</f>
        <v>1269</v>
      </c>
      <c r="C23" s="62">
        <f>74+3732</f>
        <v>3806</v>
      </c>
      <c r="D23" s="22">
        <f t="shared" si="0"/>
        <v>5075</v>
      </c>
      <c r="E23" s="62"/>
      <c r="F23" s="62">
        <f>21989+31642</f>
        <v>53631</v>
      </c>
      <c r="G23" s="62">
        <f>661+678741</f>
        <v>679402</v>
      </c>
      <c r="H23" s="22">
        <f t="shared" si="1"/>
        <v>733033</v>
      </c>
      <c r="I23" s="62"/>
      <c r="J23" s="62">
        <f>0.566+0.008</f>
        <v>0.574</v>
      </c>
      <c r="K23" s="62">
        <f>0+6.129</f>
        <v>6.129</v>
      </c>
      <c r="L23" s="42">
        <f t="shared" si="2"/>
        <v>6.702999999999999</v>
      </c>
    </row>
    <row r="24" spans="1:12" ht="12.75">
      <c r="A24" s="195">
        <v>2002</v>
      </c>
      <c r="B24" s="193">
        <f>960+251</f>
        <v>1211</v>
      </c>
      <c r="C24" s="193">
        <f>149+3869</f>
        <v>4018</v>
      </c>
      <c r="D24" s="236">
        <f t="shared" si="0"/>
        <v>5229</v>
      </c>
      <c r="E24" s="193"/>
      <c r="F24" s="193">
        <f>21775+30199</f>
        <v>51974</v>
      </c>
      <c r="G24" s="193">
        <f>793+700737</f>
        <v>701530</v>
      </c>
      <c r="H24" s="236">
        <f t="shared" si="1"/>
        <v>753504</v>
      </c>
      <c r="I24" s="193"/>
      <c r="J24" s="193">
        <f>0.676+0.814</f>
        <v>1.49</v>
      </c>
      <c r="K24" s="193">
        <f>6.808</f>
        <v>6.808</v>
      </c>
      <c r="L24" s="191">
        <f t="shared" si="2"/>
        <v>8.298</v>
      </c>
    </row>
    <row r="25" spans="1:12" ht="12.75">
      <c r="A25" s="21">
        <v>2003</v>
      </c>
      <c r="B25" s="23">
        <f>895+1139</f>
        <v>2034</v>
      </c>
      <c r="C25" s="23">
        <f>136+3729</f>
        <v>3865</v>
      </c>
      <c r="D25" s="22">
        <f t="shared" si="0"/>
        <v>5899</v>
      </c>
      <c r="E25" s="23"/>
      <c r="F25" s="23">
        <f>22535+96249</f>
        <v>118784</v>
      </c>
      <c r="G25" s="23">
        <f>1399+717380</f>
        <v>718779</v>
      </c>
      <c r="H25" s="22">
        <f t="shared" si="1"/>
        <v>837563</v>
      </c>
      <c r="I25" s="23"/>
      <c r="J25" s="23">
        <f>0.486+0.24</f>
        <v>0.726</v>
      </c>
      <c r="K25" s="23">
        <v>3.559</v>
      </c>
      <c r="L25" s="42">
        <f t="shared" si="2"/>
        <v>4.285</v>
      </c>
    </row>
    <row r="26" spans="1:12" ht="12.75">
      <c r="A26" s="195">
        <v>2004</v>
      </c>
      <c r="B26" s="232">
        <f>859+2756</f>
        <v>3615</v>
      </c>
      <c r="C26" s="232">
        <f>98+3862</f>
        <v>3960</v>
      </c>
      <c r="D26" s="236">
        <f t="shared" si="0"/>
        <v>7575</v>
      </c>
      <c r="E26" s="232"/>
      <c r="F26" s="232">
        <f>21701+370786</f>
        <v>392487</v>
      </c>
      <c r="G26" s="232">
        <f>566+734117</f>
        <v>734683</v>
      </c>
      <c r="H26" s="236">
        <f t="shared" si="1"/>
        <v>1127170</v>
      </c>
      <c r="I26" s="232"/>
      <c r="J26" s="232">
        <f>0.148</f>
        <v>0.148</v>
      </c>
      <c r="K26" s="232">
        <f>11.06</f>
        <v>11.06</v>
      </c>
      <c r="L26" s="191">
        <f aca="true" t="shared" si="3" ref="L26:L35">SUM(J26:K26)</f>
        <v>11.208</v>
      </c>
    </row>
    <row r="27" spans="1:12" ht="12.75">
      <c r="A27" s="21">
        <v>2005</v>
      </c>
      <c r="B27" s="23">
        <f>1153+3994</f>
        <v>5147</v>
      </c>
      <c r="C27" s="23">
        <f>95+4328</f>
        <v>4423</v>
      </c>
      <c r="D27" s="22">
        <f t="shared" si="0"/>
        <v>9570</v>
      </c>
      <c r="E27" s="23"/>
      <c r="F27" s="23">
        <f>45324+577795</f>
        <v>623119</v>
      </c>
      <c r="G27" s="23">
        <f>1926+726563</f>
        <v>728489</v>
      </c>
      <c r="H27" s="22">
        <f t="shared" si="1"/>
        <v>1351608</v>
      </c>
      <c r="I27" s="23"/>
      <c r="J27" s="23">
        <v>0.003</v>
      </c>
      <c r="K27" s="23">
        <v>16.31</v>
      </c>
      <c r="L27" s="42">
        <f t="shared" si="3"/>
        <v>16.313</v>
      </c>
    </row>
    <row r="28" spans="1:12" ht="12.75">
      <c r="A28" s="195">
        <v>2006</v>
      </c>
      <c r="B28" s="232">
        <f>913+4224</f>
        <v>5137</v>
      </c>
      <c r="C28" s="232">
        <f>150+4013</f>
        <v>4163</v>
      </c>
      <c r="D28" s="236">
        <f t="shared" si="0"/>
        <v>9300</v>
      </c>
      <c r="E28" s="232"/>
      <c r="F28" s="232">
        <f>24166+642682</f>
        <v>666848</v>
      </c>
      <c r="G28" s="232">
        <f>3159+700848</f>
        <v>704007</v>
      </c>
      <c r="H28" s="236">
        <f t="shared" si="1"/>
        <v>1370855</v>
      </c>
      <c r="I28" s="232"/>
      <c r="J28" s="232">
        <f>0.032+0</f>
        <v>0.032</v>
      </c>
      <c r="K28" s="232">
        <f>0+5.899</f>
        <v>5.899</v>
      </c>
      <c r="L28" s="191">
        <f t="shared" si="3"/>
        <v>5.931</v>
      </c>
    </row>
    <row r="29" spans="1:12" ht="12.75">
      <c r="A29" s="21">
        <v>2007</v>
      </c>
      <c r="B29" s="23">
        <v>4320</v>
      </c>
      <c r="C29" s="23">
        <v>4063</v>
      </c>
      <c r="D29" s="22">
        <f t="shared" si="0"/>
        <v>8383</v>
      </c>
      <c r="E29" s="23"/>
      <c r="F29" s="23">
        <v>613300</v>
      </c>
      <c r="G29" s="23">
        <v>681581</v>
      </c>
      <c r="H29" s="22">
        <f t="shared" si="1"/>
        <v>1294881</v>
      </c>
      <c r="I29" s="23"/>
      <c r="J29" s="23">
        <v>0</v>
      </c>
      <c r="K29" s="23">
        <v>11.213</v>
      </c>
      <c r="L29" s="42">
        <f t="shared" si="3"/>
        <v>11.213</v>
      </c>
    </row>
    <row r="30" spans="1:12" ht="12.75">
      <c r="A30" s="195">
        <v>2008</v>
      </c>
      <c r="B30" s="232">
        <v>4399</v>
      </c>
      <c r="C30" s="232">
        <v>3850</v>
      </c>
      <c r="D30" s="236">
        <f t="shared" si="0"/>
        <v>8249</v>
      </c>
      <c r="E30" s="232"/>
      <c r="F30" s="232">
        <v>624801</v>
      </c>
      <c r="G30" s="232">
        <v>643191</v>
      </c>
      <c r="H30" s="236">
        <f t="shared" si="1"/>
        <v>1267992</v>
      </c>
      <c r="I30" s="232"/>
      <c r="J30" s="232">
        <v>0</v>
      </c>
      <c r="K30" s="232">
        <v>112</v>
      </c>
      <c r="L30" s="191">
        <f t="shared" si="3"/>
        <v>112</v>
      </c>
    </row>
    <row r="31" spans="1:12" ht="12.75">
      <c r="A31" s="21">
        <v>2009</v>
      </c>
      <c r="B31" s="23">
        <v>9024</v>
      </c>
      <c r="C31" s="23">
        <v>2929</v>
      </c>
      <c r="D31" s="22">
        <f t="shared" si="0"/>
        <v>11953</v>
      </c>
      <c r="E31" s="23"/>
      <c r="F31" s="23">
        <v>1202132</v>
      </c>
      <c r="G31" s="23">
        <v>487132</v>
      </c>
      <c r="H31" s="22">
        <f t="shared" si="1"/>
        <v>1689264</v>
      </c>
      <c r="I31" s="23"/>
      <c r="J31" s="23">
        <v>1</v>
      </c>
      <c r="K31" s="23">
        <v>1.38</v>
      </c>
      <c r="L31" s="42">
        <f t="shared" si="3"/>
        <v>2.38</v>
      </c>
    </row>
    <row r="32" spans="1:12" ht="12.75">
      <c r="A32" s="195">
        <v>2010</v>
      </c>
      <c r="B32" s="232">
        <v>7318</v>
      </c>
      <c r="C32" s="232">
        <v>19204</v>
      </c>
      <c r="D32" s="236">
        <f t="shared" si="0"/>
        <v>26522</v>
      </c>
      <c r="E32" s="232"/>
      <c r="F32" s="232">
        <v>1020206</v>
      </c>
      <c r="G32" s="232">
        <v>401135</v>
      </c>
      <c r="H32" s="236">
        <f t="shared" si="1"/>
        <v>1421341</v>
      </c>
      <c r="I32" s="232"/>
      <c r="J32" s="232">
        <v>0</v>
      </c>
      <c r="K32" s="232">
        <v>245</v>
      </c>
      <c r="L32" s="191">
        <f t="shared" si="3"/>
        <v>245</v>
      </c>
    </row>
    <row r="33" spans="1:12" ht="12.75">
      <c r="A33" s="21">
        <v>2011</v>
      </c>
      <c r="B33" s="23">
        <v>7178</v>
      </c>
      <c r="C33" s="23">
        <f aca="true" t="shared" si="4" ref="C33:C40">D33-B33</f>
        <v>14316</v>
      </c>
      <c r="D33" s="22">
        <v>21494</v>
      </c>
      <c r="E33" s="23"/>
      <c r="F33" s="23">
        <v>972084</v>
      </c>
      <c r="G33" s="23">
        <v>380824</v>
      </c>
      <c r="H33" s="22">
        <f t="shared" si="1"/>
        <v>1352908</v>
      </c>
      <c r="I33" s="23"/>
      <c r="J33" s="23">
        <v>0</v>
      </c>
      <c r="K33" s="23">
        <v>34.818</v>
      </c>
      <c r="L33" s="42">
        <f t="shared" si="3"/>
        <v>34.818</v>
      </c>
    </row>
    <row r="34" spans="1:12" ht="12.75">
      <c r="A34" s="195">
        <v>2012</v>
      </c>
      <c r="B34" s="232">
        <v>4106</v>
      </c>
      <c r="C34" s="232">
        <f t="shared" si="4"/>
        <v>12005</v>
      </c>
      <c r="D34" s="236">
        <v>16111</v>
      </c>
      <c r="E34" s="232"/>
      <c r="F34" s="232">
        <v>590216</v>
      </c>
      <c r="G34" s="232">
        <v>336484</v>
      </c>
      <c r="H34" s="236">
        <f t="shared" si="1"/>
        <v>926700</v>
      </c>
      <c r="I34" s="232"/>
      <c r="J34" s="232">
        <v>0</v>
      </c>
      <c r="K34" s="232">
        <v>15.186</v>
      </c>
      <c r="L34" s="191">
        <f t="shared" si="3"/>
        <v>15.186</v>
      </c>
    </row>
    <row r="35" spans="1:12" ht="12.75">
      <c r="A35" s="21">
        <v>2013</v>
      </c>
      <c r="B35" s="23">
        <v>4946</v>
      </c>
      <c r="C35" s="23">
        <f t="shared" si="4"/>
        <v>12031</v>
      </c>
      <c r="D35" s="22">
        <v>16977</v>
      </c>
      <c r="E35" s="23"/>
      <c r="F35" s="23">
        <v>674385</v>
      </c>
      <c r="G35" s="23">
        <f aca="true" t="shared" si="5" ref="G35:G40">H35-F35</f>
        <v>296781</v>
      </c>
      <c r="H35" s="22">
        <v>971166</v>
      </c>
      <c r="I35" s="23"/>
      <c r="J35" s="23">
        <v>0</v>
      </c>
      <c r="K35" s="23">
        <v>0.06</v>
      </c>
      <c r="L35" s="42">
        <f t="shared" si="3"/>
        <v>0.06</v>
      </c>
    </row>
    <row r="36" spans="1:12" ht="12.75">
      <c r="A36" s="195">
        <v>2014</v>
      </c>
      <c r="B36" s="232">
        <v>3795</v>
      </c>
      <c r="C36" s="232">
        <f t="shared" si="4"/>
        <v>12191</v>
      </c>
      <c r="D36" s="236">
        <v>15986</v>
      </c>
      <c r="E36" s="232"/>
      <c r="F36" s="232">
        <v>551244</v>
      </c>
      <c r="G36" s="232">
        <f t="shared" si="5"/>
        <v>299404</v>
      </c>
      <c r="H36" s="236">
        <v>850648</v>
      </c>
      <c r="I36" s="232"/>
      <c r="J36" s="232">
        <v>0</v>
      </c>
      <c r="K36" s="232">
        <v>0.06</v>
      </c>
      <c r="L36" s="191">
        <v>0.7</v>
      </c>
    </row>
    <row r="37" spans="1:12" ht="12.75">
      <c r="A37" s="21">
        <v>2015</v>
      </c>
      <c r="B37" s="23">
        <v>2438</v>
      </c>
      <c r="C37" s="23">
        <f t="shared" si="4"/>
        <v>11095</v>
      </c>
      <c r="D37" s="22">
        <v>13533</v>
      </c>
      <c r="E37" s="23"/>
      <c r="F37" s="23">
        <v>387425</v>
      </c>
      <c r="G37" s="23">
        <f t="shared" si="5"/>
        <v>317613</v>
      </c>
      <c r="H37" s="22">
        <v>705038</v>
      </c>
      <c r="I37" s="23"/>
      <c r="J37" s="23">
        <v>0</v>
      </c>
      <c r="K37" s="23">
        <f>L37-J37</f>
        <v>0.01</v>
      </c>
      <c r="L37" s="42">
        <v>0.01</v>
      </c>
    </row>
    <row r="38" spans="1:12" ht="12.75">
      <c r="A38" s="195">
        <v>2016</v>
      </c>
      <c r="B38" s="232">
        <v>3372</v>
      </c>
      <c r="C38" s="232">
        <f t="shared" si="4"/>
        <v>11100</v>
      </c>
      <c r="D38" s="236">
        <v>14472</v>
      </c>
      <c r="E38" s="232"/>
      <c r="F38" s="232">
        <v>566608</v>
      </c>
      <c r="G38" s="232">
        <f t="shared" si="5"/>
        <v>251003</v>
      </c>
      <c r="H38" s="236">
        <v>817611</v>
      </c>
      <c r="I38" s="232"/>
      <c r="J38" s="232">
        <v>0</v>
      </c>
      <c r="K38" s="232">
        <f>L38-J38</f>
        <v>1.225</v>
      </c>
      <c r="L38" s="191">
        <v>1.225</v>
      </c>
    </row>
    <row r="39" spans="1:12" ht="12.75">
      <c r="A39" s="266">
        <v>2017</v>
      </c>
      <c r="B39" s="170">
        <v>4684</v>
      </c>
      <c r="C39" s="170">
        <f t="shared" si="4"/>
        <v>11339</v>
      </c>
      <c r="D39" s="169">
        <v>16023</v>
      </c>
      <c r="E39" s="170"/>
      <c r="F39" s="170">
        <v>763196</v>
      </c>
      <c r="G39" s="170">
        <f t="shared" si="5"/>
        <v>259768</v>
      </c>
      <c r="H39" s="169">
        <v>1022964</v>
      </c>
      <c r="I39" s="170"/>
      <c r="J39" s="170">
        <v>0</v>
      </c>
      <c r="K39" s="170">
        <v>0</v>
      </c>
      <c r="L39" s="145">
        <v>0</v>
      </c>
    </row>
    <row r="40" spans="1:12" ht="12.75">
      <c r="A40" s="195">
        <v>2018</v>
      </c>
      <c r="B40" s="232">
        <v>4771</v>
      </c>
      <c r="C40" s="232">
        <f t="shared" si="4"/>
        <v>12084</v>
      </c>
      <c r="D40" s="236">
        <v>16855</v>
      </c>
      <c r="E40" s="232"/>
      <c r="F40" s="232">
        <v>798946</v>
      </c>
      <c r="G40" s="232">
        <f t="shared" si="5"/>
        <v>238630</v>
      </c>
      <c r="H40" s="236">
        <v>1037576</v>
      </c>
      <c r="I40" s="232"/>
      <c r="J40" s="232">
        <v>0</v>
      </c>
      <c r="K40" s="232">
        <v>0</v>
      </c>
      <c r="L40" s="191">
        <v>0</v>
      </c>
    </row>
    <row r="41" spans="1:12" ht="12.75">
      <c r="A41" s="44"/>
      <c r="B41" s="45"/>
      <c r="C41" s="45"/>
      <c r="D41" s="26"/>
      <c r="E41" s="12"/>
      <c r="F41" s="45"/>
      <c r="G41" s="45"/>
      <c r="H41" s="45"/>
      <c r="I41" s="12"/>
      <c r="J41" s="12"/>
      <c r="K41" s="12"/>
      <c r="L41" s="12"/>
    </row>
    <row r="42" spans="1:12" ht="15" customHeight="1">
      <c r="A42" s="160" t="s">
        <v>77</v>
      </c>
      <c r="B42" s="22"/>
      <c r="C42" s="22"/>
      <c r="D42" s="22"/>
      <c r="E42" s="23"/>
      <c r="F42" s="22"/>
      <c r="G42" s="22"/>
      <c r="H42" s="22"/>
      <c r="I42" s="23"/>
      <c r="J42" s="22"/>
      <c r="K42" s="22"/>
      <c r="L42" s="22"/>
    </row>
    <row r="43" spans="1:12" ht="15" customHeight="1">
      <c r="A43" s="351" t="s">
        <v>162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</row>
    <row r="44" ht="12.75">
      <c r="A44" s="157" t="s">
        <v>168</v>
      </c>
    </row>
    <row r="45" ht="12.75">
      <c r="A45" s="157" t="s">
        <v>167</v>
      </c>
    </row>
  </sheetData>
  <sheetProtection/>
  <mergeCells count="1">
    <mergeCell ref="A43:L43"/>
  </mergeCells>
  <printOptions/>
  <pageMargins left="0.1968503937007874" right="0.1968503937007874" top="0.5511811023622047" bottom="0" header="0" footer="0"/>
  <pageSetup horizontalDpi="600" verticalDpi="600" orientation="portrait" paperSize="9" r:id="rId1"/>
  <ignoredErrors>
    <ignoredError sqref="B41:M41 B19:M32 H33:H34 L33:L3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zoomScalePageLayoutView="0" workbookViewId="0" topLeftCell="A1">
      <selection activeCell="K45" sqref="K45"/>
    </sheetView>
  </sheetViews>
  <sheetFormatPr defaultColWidth="11.421875" defaultRowHeight="12.75"/>
  <cols>
    <col min="1" max="1" width="16.140625" style="0" customWidth="1"/>
    <col min="2" max="2" width="10.8515625" style="0" customWidth="1"/>
    <col min="3" max="3" width="9.8515625" style="0" customWidth="1"/>
    <col min="4" max="4" width="10.8515625" style="0" customWidth="1"/>
    <col min="5" max="5" width="0.85546875" style="0" customWidth="1"/>
    <col min="6" max="6" width="10.8515625" style="0" customWidth="1"/>
    <col min="7" max="7" width="9.8515625" style="0" customWidth="1"/>
    <col min="8" max="8" width="10.8515625" style="0" customWidth="1"/>
    <col min="9" max="9" width="1.28515625" style="0" customWidth="1"/>
    <col min="10" max="11" width="11.57421875" style="0" customWidth="1"/>
    <col min="12" max="21" width="10.7109375" style="0" hidden="1" customWidth="1"/>
    <col min="22" max="22" width="11.00390625" style="0" customWidth="1"/>
  </cols>
  <sheetData>
    <row r="1" spans="1:20" ht="15">
      <c r="A1" s="1" t="s">
        <v>272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"/>
    </row>
    <row r="2" spans="1:20" ht="15">
      <c r="A2" s="1"/>
      <c r="B2" s="2"/>
      <c r="C2" s="2"/>
      <c r="D2" s="2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</row>
    <row r="3" spans="1:22" ht="12.75">
      <c r="A3" s="36"/>
      <c r="B3" s="18"/>
      <c r="C3" s="18"/>
      <c r="D3" s="18"/>
      <c r="E3" s="19"/>
      <c r="F3" s="18"/>
      <c r="G3" s="18"/>
      <c r="H3" s="18"/>
      <c r="I3" s="19"/>
      <c r="J3" s="19"/>
      <c r="K3" s="19"/>
      <c r="L3" s="19"/>
      <c r="M3" s="19"/>
      <c r="N3" s="19"/>
      <c r="O3" s="19"/>
      <c r="P3" s="19"/>
      <c r="Q3" s="19"/>
      <c r="R3" s="12"/>
      <c r="S3" s="12"/>
      <c r="T3" s="26"/>
      <c r="U3" s="53"/>
      <c r="V3" s="53"/>
    </row>
    <row r="4" spans="1:22" ht="12.75">
      <c r="A4" s="196"/>
      <c r="B4" s="197" t="s">
        <v>16</v>
      </c>
      <c r="C4" s="197"/>
      <c r="D4" s="197"/>
      <c r="E4" s="198"/>
      <c r="F4" s="197" t="s">
        <v>17</v>
      </c>
      <c r="G4" s="197"/>
      <c r="H4" s="197"/>
      <c r="I4" s="198"/>
      <c r="J4" s="227"/>
      <c r="K4" s="227"/>
      <c r="L4" s="355" t="s">
        <v>18</v>
      </c>
      <c r="M4" s="355"/>
      <c r="N4" s="355"/>
      <c r="O4" s="355"/>
      <c r="P4" s="355"/>
      <c r="Q4" s="355"/>
      <c r="R4" s="355"/>
      <c r="S4" s="355"/>
      <c r="T4" s="355"/>
      <c r="U4" s="355"/>
      <c r="V4" s="238"/>
    </row>
    <row r="5" spans="1:22" ht="12.75">
      <c r="A5" s="199"/>
      <c r="B5" s="200" t="s">
        <v>11</v>
      </c>
      <c r="C5" s="200" t="s">
        <v>12</v>
      </c>
      <c r="D5" s="200"/>
      <c r="E5" s="201"/>
      <c r="F5" s="200" t="s">
        <v>11</v>
      </c>
      <c r="G5" s="200" t="s">
        <v>12</v>
      </c>
      <c r="H5" s="200"/>
      <c r="I5" s="201"/>
      <c r="J5" s="201"/>
      <c r="K5" s="201"/>
      <c r="L5" s="239"/>
      <c r="M5" s="183"/>
      <c r="N5" s="201"/>
      <c r="O5" s="239"/>
      <c r="P5" s="201"/>
      <c r="Q5" s="239"/>
      <c r="R5" s="201"/>
      <c r="S5" s="239"/>
      <c r="T5" s="240"/>
      <c r="U5" s="241"/>
      <c r="V5" s="238"/>
    </row>
    <row r="6" spans="1:22" ht="12.75">
      <c r="A6" s="189"/>
      <c r="B6" s="185" t="s">
        <v>13</v>
      </c>
      <c r="C6" s="185" t="s">
        <v>13</v>
      </c>
      <c r="D6" s="185" t="s">
        <v>1</v>
      </c>
      <c r="E6" s="187"/>
      <c r="F6" s="185" t="s">
        <v>13</v>
      </c>
      <c r="G6" s="185" t="s">
        <v>13</v>
      </c>
      <c r="H6" s="185" t="s">
        <v>1</v>
      </c>
      <c r="I6" s="187"/>
      <c r="J6" s="242">
        <v>2018</v>
      </c>
      <c r="K6" s="242">
        <v>2017</v>
      </c>
      <c r="L6" s="242">
        <v>2015</v>
      </c>
      <c r="M6" s="242">
        <v>2008</v>
      </c>
      <c r="N6" s="242">
        <v>2005</v>
      </c>
      <c r="O6" s="242">
        <v>2003</v>
      </c>
      <c r="P6" s="242">
        <v>2002</v>
      </c>
      <c r="Q6" s="242">
        <v>2001</v>
      </c>
      <c r="R6" s="242">
        <v>2000</v>
      </c>
      <c r="S6" s="243">
        <v>1999</v>
      </c>
      <c r="T6" s="243">
        <v>1998</v>
      </c>
      <c r="U6" s="243">
        <v>1997</v>
      </c>
      <c r="V6" s="186" t="s">
        <v>19</v>
      </c>
    </row>
    <row r="7" spans="1:24" ht="12.75">
      <c r="A7" s="54"/>
      <c r="B7" s="55"/>
      <c r="C7" s="55"/>
      <c r="D7" s="55"/>
      <c r="E7" s="56"/>
      <c r="F7" s="55"/>
      <c r="G7" s="55"/>
      <c r="H7" s="55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5"/>
      <c r="X7" s="168"/>
    </row>
    <row r="8" spans="1:24" ht="12.75">
      <c r="A8" s="54" t="s">
        <v>20</v>
      </c>
      <c r="B8" s="55"/>
      <c r="C8" s="55"/>
      <c r="D8" s="55"/>
      <c r="E8" s="56"/>
      <c r="F8" s="55"/>
      <c r="G8" s="55"/>
      <c r="H8" s="55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5"/>
      <c r="X8" s="176"/>
    </row>
    <row r="9" spans="1:24" ht="12.75">
      <c r="A9" s="54"/>
      <c r="B9" s="165"/>
      <c r="C9" s="165"/>
      <c r="D9" s="165"/>
      <c r="E9" s="166"/>
      <c r="F9" s="165"/>
      <c r="G9" s="165"/>
      <c r="H9" s="165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5"/>
      <c r="U9" s="167"/>
      <c r="V9" s="167"/>
      <c r="W9" s="168"/>
      <c r="X9" s="177"/>
    </row>
    <row r="10" spans="1:23" ht="12.75">
      <c r="A10" s="57" t="s">
        <v>2</v>
      </c>
      <c r="B10" s="169">
        <v>88574</v>
      </c>
      <c r="C10" s="169">
        <f>D10-B10</f>
        <v>5787</v>
      </c>
      <c r="D10" s="169">
        <v>94361</v>
      </c>
      <c r="E10" s="328"/>
      <c r="F10" s="169">
        <f>316105-B10</f>
        <v>227531</v>
      </c>
      <c r="G10" s="169">
        <f>H10-F10</f>
        <v>13759</v>
      </c>
      <c r="H10" s="169">
        <f>J10-D10</f>
        <v>241290</v>
      </c>
      <c r="I10" s="170"/>
      <c r="J10" s="170">
        <v>335651</v>
      </c>
      <c r="K10" s="170">
        <v>323539</v>
      </c>
      <c r="L10" s="170">
        <v>288879</v>
      </c>
      <c r="M10" s="170">
        <v>314435</v>
      </c>
      <c r="N10" s="170">
        <v>300254</v>
      </c>
      <c r="O10" s="170">
        <v>276214</v>
      </c>
      <c r="P10" s="170">
        <v>265463</v>
      </c>
      <c r="Q10" s="170">
        <v>268136</v>
      </c>
      <c r="R10" s="170">
        <v>252196</v>
      </c>
      <c r="S10" s="170">
        <v>228638</v>
      </c>
      <c r="T10" s="169">
        <v>212358</v>
      </c>
      <c r="U10" s="169">
        <v>206929</v>
      </c>
      <c r="V10" s="171">
        <f>(J10-K10)/K10</f>
        <v>0.03743598144273179</v>
      </c>
      <c r="W10" s="172"/>
    </row>
    <row r="11" spans="1:23" ht="12.75">
      <c r="A11" s="280" t="s">
        <v>3</v>
      </c>
      <c r="B11" s="236">
        <v>4</v>
      </c>
      <c r="C11" s="236">
        <f>D11-B11</f>
        <v>3061</v>
      </c>
      <c r="D11" s="236">
        <v>3065</v>
      </c>
      <c r="E11" s="329"/>
      <c r="F11" s="236">
        <f>11607-B11</f>
        <v>11603</v>
      </c>
      <c r="G11" s="236">
        <f>H11-F11</f>
        <v>3202</v>
      </c>
      <c r="H11" s="236">
        <f>J11-D11</f>
        <v>14805</v>
      </c>
      <c r="I11" s="232"/>
      <c r="J11" s="232">
        <v>17870</v>
      </c>
      <c r="K11" s="232">
        <v>19252</v>
      </c>
      <c r="L11" s="232">
        <v>19529</v>
      </c>
      <c r="M11" s="232">
        <v>40218</v>
      </c>
      <c r="N11" s="232">
        <v>23682</v>
      </c>
      <c r="O11" s="232">
        <v>10391</v>
      </c>
      <c r="P11" s="232">
        <v>5333</v>
      </c>
      <c r="Q11" s="232">
        <v>5291</v>
      </c>
      <c r="R11" s="232">
        <v>5581</v>
      </c>
      <c r="S11" s="232">
        <v>4896</v>
      </c>
      <c r="T11" s="236">
        <v>4934</v>
      </c>
      <c r="U11" s="236">
        <v>3849</v>
      </c>
      <c r="V11" s="281">
        <f>(J11-K11)/K11</f>
        <v>-0.07178474963640141</v>
      </c>
      <c r="W11" s="172"/>
    </row>
    <row r="12" spans="1:23" ht="12.75">
      <c r="A12" s="57" t="s">
        <v>4</v>
      </c>
      <c r="B12" s="169">
        <v>42</v>
      </c>
      <c r="C12" s="169">
        <f>D12-B12</f>
        <v>9999</v>
      </c>
      <c r="D12" s="169">
        <v>10041</v>
      </c>
      <c r="E12" s="328"/>
      <c r="F12" s="173">
        <f>4771-B12</f>
        <v>4729</v>
      </c>
      <c r="G12" s="169">
        <f>H12-F12</f>
        <v>2085</v>
      </c>
      <c r="H12" s="169">
        <f>J12-D12</f>
        <v>6814</v>
      </c>
      <c r="I12" s="170"/>
      <c r="J12" s="170">
        <v>16855</v>
      </c>
      <c r="K12" s="170">
        <v>16023</v>
      </c>
      <c r="L12" s="170">
        <v>13533</v>
      </c>
      <c r="M12" s="170">
        <v>8249</v>
      </c>
      <c r="N12" s="170">
        <v>9570</v>
      </c>
      <c r="O12" s="170">
        <v>5899</v>
      </c>
      <c r="P12" s="170">
        <v>5229</v>
      </c>
      <c r="Q12" s="170">
        <v>5075</v>
      </c>
      <c r="R12" s="170">
        <v>4944</v>
      </c>
      <c r="S12" s="170">
        <v>4439</v>
      </c>
      <c r="T12" s="169">
        <v>4179</v>
      </c>
      <c r="U12" s="169">
        <v>4118</v>
      </c>
      <c r="V12" s="171">
        <f>(J12-K12)/K12</f>
        <v>0.051925357298882854</v>
      </c>
      <c r="W12" s="172"/>
    </row>
    <row r="13" spans="1:23" s="76" customFormat="1" ht="12.75">
      <c r="A13" s="283" t="s">
        <v>5</v>
      </c>
      <c r="B13" s="284">
        <f>B10+B11+B12</f>
        <v>88620</v>
      </c>
      <c r="C13" s="284">
        <f aca="true" t="shared" si="0" ref="C13:H13">C10+C11+C12</f>
        <v>18847</v>
      </c>
      <c r="D13" s="284">
        <f t="shared" si="0"/>
        <v>107467</v>
      </c>
      <c r="E13" s="284">
        <f t="shared" si="0"/>
        <v>0</v>
      </c>
      <c r="F13" s="284">
        <f t="shared" si="0"/>
        <v>243863</v>
      </c>
      <c r="G13" s="284">
        <f t="shared" si="0"/>
        <v>19046</v>
      </c>
      <c r="H13" s="284">
        <f t="shared" si="0"/>
        <v>262909</v>
      </c>
      <c r="I13" s="284">
        <f>SUM(I10:I12)</f>
        <v>0</v>
      </c>
      <c r="J13" s="284">
        <f>SUM(J10:J12)</f>
        <v>370376</v>
      </c>
      <c r="K13" s="284">
        <f>SUM(K10:K12)</f>
        <v>358814</v>
      </c>
      <c r="L13" s="284">
        <f>L10+L11+L12</f>
        <v>321941</v>
      </c>
      <c r="M13" s="284">
        <v>362902</v>
      </c>
      <c r="N13" s="285">
        <v>333506</v>
      </c>
      <c r="O13" s="285">
        <v>300685</v>
      </c>
      <c r="P13" s="285">
        <v>276025</v>
      </c>
      <c r="Q13" s="285">
        <v>278502</v>
      </c>
      <c r="R13" s="285">
        <v>262721</v>
      </c>
      <c r="S13" s="284">
        <v>237973</v>
      </c>
      <c r="T13" s="284">
        <f>SUM(T10:T12)</f>
        <v>221471</v>
      </c>
      <c r="U13" s="284">
        <f>SUM(U10:U12)</f>
        <v>214896</v>
      </c>
      <c r="V13" s="286">
        <f>(J13-K13)/K13</f>
        <v>0.032222822966773874</v>
      </c>
      <c r="W13" s="174"/>
    </row>
    <row r="14" spans="1:23" ht="12.75">
      <c r="A14" s="57"/>
      <c r="B14" s="327"/>
      <c r="C14" s="327"/>
      <c r="D14" s="327"/>
      <c r="E14" s="327"/>
      <c r="F14" s="327"/>
      <c r="G14" s="327"/>
      <c r="H14" s="327"/>
      <c r="I14" s="169"/>
      <c r="J14" s="169"/>
      <c r="K14" s="169"/>
      <c r="L14" s="169"/>
      <c r="M14" s="169"/>
      <c r="N14" s="170"/>
      <c r="O14" s="169"/>
      <c r="P14" s="169"/>
      <c r="Q14" s="170"/>
      <c r="R14" s="170"/>
      <c r="S14" s="169"/>
      <c r="T14" s="169"/>
      <c r="U14" s="169"/>
      <c r="V14" s="171"/>
      <c r="W14" s="172"/>
    </row>
    <row r="15" spans="1:23" s="76" customFormat="1" ht="12.75">
      <c r="A15" s="283" t="s">
        <v>6</v>
      </c>
      <c r="B15" s="284">
        <v>572762</v>
      </c>
      <c r="C15" s="284">
        <f>D15-B15</f>
        <v>246982</v>
      </c>
      <c r="D15" s="284">
        <v>819744</v>
      </c>
      <c r="E15" s="331"/>
      <c r="F15" s="284">
        <f>1834147-B15</f>
        <v>1261385</v>
      </c>
      <c r="G15" s="284">
        <f>H15-F15</f>
        <v>219060</v>
      </c>
      <c r="H15" s="284">
        <f>J15-D15</f>
        <v>1480445</v>
      </c>
      <c r="I15" s="285"/>
      <c r="J15" s="285">
        <v>2300189</v>
      </c>
      <c r="K15" s="285">
        <v>2174263</v>
      </c>
      <c r="L15" s="285">
        <v>1902967</v>
      </c>
      <c r="M15" s="285">
        <v>2021005</v>
      </c>
      <c r="N15" s="285">
        <v>1845575</v>
      </c>
      <c r="O15" s="285">
        <v>1592335</v>
      </c>
      <c r="P15" s="285">
        <v>1495355</v>
      </c>
      <c r="Q15" s="285">
        <v>1529490</v>
      </c>
      <c r="R15" s="285">
        <v>1497107</v>
      </c>
      <c r="S15" s="285">
        <v>1376782</v>
      </c>
      <c r="T15" s="284">
        <v>1253714</v>
      </c>
      <c r="U15" s="284">
        <v>1200772</v>
      </c>
      <c r="V15" s="286">
        <f>(J15-K15)/K15</f>
        <v>0.057916636579843375</v>
      </c>
      <c r="W15" s="174"/>
    </row>
    <row r="16" spans="1:23" ht="12.75">
      <c r="A16" s="288" t="s">
        <v>21</v>
      </c>
      <c r="B16" s="289">
        <f>B13/B15</f>
        <v>0.15472395165880418</v>
      </c>
      <c r="C16" s="289">
        <f aca="true" t="shared" si="1" ref="C16:H16">C13/C15</f>
        <v>0.07630920471937226</v>
      </c>
      <c r="D16" s="289">
        <f t="shared" si="1"/>
        <v>0.1310982453058516</v>
      </c>
      <c r="E16" s="332" t="e">
        <f t="shared" si="1"/>
        <v>#DIV/0!</v>
      </c>
      <c r="F16" s="289">
        <f t="shared" si="1"/>
        <v>0.19332955441835759</v>
      </c>
      <c r="G16" s="289">
        <f t="shared" si="1"/>
        <v>0.08694421619647585</v>
      </c>
      <c r="H16" s="289">
        <f t="shared" si="1"/>
        <v>0.1775878198784825</v>
      </c>
      <c r="I16" s="289" t="e">
        <f>I13/I15</f>
        <v>#DIV/0!</v>
      </c>
      <c r="J16" s="289">
        <f>J13/J15</f>
        <v>0.1610198118502436</v>
      </c>
      <c r="K16" s="289">
        <f>K13/K15</f>
        <v>0.1650278738128736</v>
      </c>
      <c r="L16" s="244">
        <f>L13/L15</f>
        <v>0.16917844607920157</v>
      </c>
      <c r="M16" s="244">
        <v>0.17956511735497932</v>
      </c>
      <c r="N16" s="244">
        <v>0.18070574211289164</v>
      </c>
      <c r="O16" s="244">
        <f>O13/O15</f>
        <v>0.1888327519020809</v>
      </c>
      <c r="P16" s="244">
        <f>P13/P15</f>
        <v>0.18458827502499406</v>
      </c>
      <c r="Q16" s="244">
        <v>0.18208814702940196</v>
      </c>
      <c r="R16" s="244">
        <v>0.17548578692104172</v>
      </c>
      <c r="S16" s="244">
        <v>0.17284726267484612</v>
      </c>
      <c r="T16" s="244">
        <f>T13/T15</f>
        <v>0.1766519317802944</v>
      </c>
      <c r="U16" s="244">
        <f>U13/U15</f>
        <v>0.1789648659362477</v>
      </c>
      <c r="V16" s="287"/>
      <c r="W16" s="172"/>
    </row>
    <row r="17" spans="1:23" ht="12.75">
      <c r="A17" s="57"/>
      <c r="B17" s="327"/>
      <c r="C17" s="327"/>
      <c r="D17" s="327"/>
      <c r="E17" s="328"/>
      <c r="F17" s="327"/>
      <c r="G17" s="327"/>
      <c r="H17" s="327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69"/>
      <c r="U17" s="172"/>
      <c r="V17" s="171"/>
      <c r="W17" s="172"/>
    </row>
    <row r="18" spans="1:23" ht="12.75">
      <c r="A18" s="54" t="s">
        <v>22</v>
      </c>
      <c r="B18" s="327"/>
      <c r="C18" s="327"/>
      <c r="D18" s="327"/>
      <c r="E18" s="328"/>
      <c r="F18" s="327"/>
      <c r="G18" s="327"/>
      <c r="H18" s="327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69"/>
      <c r="U18" s="172"/>
      <c r="V18" s="171"/>
      <c r="W18" s="172"/>
    </row>
    <row r="19" spans="1:23" ht="12.75">
      <c r="A19" s="54"/>
      <c r="B19" s="327"/>
      <c r="C19" s="327"/>
      <c r="D19" s="327"/>
      <c r="E19" s="328"/>
      <c r="F19" s="327"/>
      <c r="G19" s="327"/>
      <c r="H19" s="327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69"/>
      <c r="U19" s="172"/>
      <c r="V19" s="171"/>
      <c r="W19" s="172"/>
    </row>
    <row r="20" spans="1:23" ht="12.75">
      <c r="A20" s="57" t="s">
        <v>2</v>
      </c>
      <c r="B20" s="169">
        <v>13420753</v>
      </c>
      <c r="C20" s="169">
        <f>D20-B20</f>
        <v>32128</v>
      </c>
      <c r="D20" s="169">
        <v>13452881</v>
      </c>
      <c r="E20" s="328"/>
      <c r="F20" s="173">
        <f>49561810-B20</f>
        <v>36141057</v>
      </c>
      <c r="G20" s="169">
        <f>H20-F20</f>
        <v>578519</v>
      </c>
      <c r="H20" s="169">
        <f>J20-D20</f>
        <v>36719576</v>
      </c>
      <c r="I20" s="170"/>
      <c r="J20" s="170">
        <v>50172457</v>
      </c>
      <c r="K20" s="170">
        <v>47284500</v>
      </c>
      <c r="L20" s="170">
        <v>39711237</v>
      </c>
      <c r="M20" s="170">
        <v>30169663</v>
      </c>
      <c r="N20" s="170">
        <v>26941215</v>
      </c>
      <c r="O20" s="170">
        <v>22541624</v>
      </c>
      <c r="P20" s="170">
        <v>21168997</v>
      </c>
      <c r="Q20" s="170">
        <v>20545680</v>
      </c>
      <c r="R20" s="170">
        <v>19375338</v>
      </c>
      <c r="S20" s="170">
        <v>17128668</v>
      </c>
      <c r="T20" s="169">
        <v>15746291</v>
      </c>
      <c r="U20" s="169">
        <v>14562498</v>
      </c>
      <c r="V20" s="171">
        <f>(J20-K20)/K20</f>
        <v>0.06107618775708742</v>
      </c>
      <c r="W20" s="172"/>
    </row>
    <row r="21" spans="1:23" ht="12.75">
      <c r="A21" s="280" t="s">
        <v>3</v>
      </c>
      <c r="B21" s="236">
        <v>286</v>
      </c>
      <c r="C21" s="236">
        <f>D21-B21</f>
        <v>8038</v>
      </c>
      <c r="D21" s="236">
        <v>8324</v>
      </c>
      <c r="E21" s="329"/>
      <c r="F21" s="282">
        <f>1909857-B21</f>
        <v>1909571</v>
      </c>
      <c r="G21" s="236">
        <f>H21-F21</f>
        <v>101981</v>
      </c>
      <c r="H21" s="236">
        <f>J21-D21</f>
        <v>2011552</v>
      </c>
      <c r="I21" s="232"/>
      <c r="J21" s="232">
        <v>2019876</v>
      </c>
      <c r="K21" s="232">
        <v>1946816</v>
      </c>
      <c r="L21" s="232">
        <v>1775326</v>
      </c>
      <c r="M21" s="232">
        <v>5485868</v>
      </c>
      <c r="N21" s="232">
        <v>3513612</v>
      </c>
      <c r="O21" s="232">
        <v>1427885</v>
      </c>
      <c r="P21" s="232">
        <v>534183</v>
      </c>
      <c r="Q21" s="232">
        <v>602488</v>
      </c>
      <c r="R21" s="232">
        <v>627222</v>
      </c>
      <c r="S21" s="232">
        <v>606411</v>
      </c>
      <c r="T21" s="236">
        <v>585734</v>
      </c>
      <c r="U21" s="236">
        <v>506924</v>
      </c>
      <c r="V21" s="281">
        <f>(J21-K21)/K21</f>
        <v>0.0375279430619021</v>
      </c>
      <c r="W21" s="172"/>
    </row>
    <row r="22" spans="1:23" ht="12.75">
      <c r="A22" s="57" t="s">
        <v>4</v>
      </c>
      <c r="B22" s="169">
        <v>4137</v>
      </c>
      <c r="C22" s="169">
        <f>D22-B22</f>
        <v>6754</v>
      </c>
      <c r="D22" s="169">
        <v>10891</v>
      </c>
      <c r="E22" s="328"/>
      <c r="F22" s="173">
        <f>798946-B22</f>
        <v>794809</v>
      </c>
      <c r="G22" s="169">
        <f>H22-F22</f>
        <v>231876</v>
      </c>
      <c r="H22" s="169">
        <f>J22-D22</f>
        <v>1026685</v>
      </c>
      <c r="I22" s="170"/>
      <c r="J22" s="170">
        <v>1037576</v>
      </c>
      <c r="K22" s="170">
        <v>1022964</v>
      </c>
      <c r="L22" s="170">
        <v>705038</v>
      </c>
      <c r="M22" s="170">
        <v>1267992</v>
      </c>
      <c r="N22" s="170">
        <v>1351608</v>
      </c>
      <c r="O22" s="170">
        <v>837563</v>
      </c>
      <c r="P22" s="170">
        <v>753504</v>
      </c>
      <c r="Q22" s="170">
        <v>733033</v>
      </c>
      <c r="R22" s="170">
        <v>686282</v>
      </c>
      <c r="S22" s="170">
        <v>617419</v>
      </c>
      <c r="T22" s="169">
        <v>556446</v>
      </c>
      <c r="U22" s="169">
        <v>517736</v>
      </c>
      <c r="V22" s="171">
        <f>(J22-K22)/K22</f>
        <v>0.014283982623044408</v>
      </c>
      <c r="W22" s="172"/>
    </row>
    <row r="23" spans="1:23" s="76" customFormat="1" ht="12.75">
      <c r="A23" s="283" t="s">
        <v>5</v>
      </c>
      <c r="B23" s="284">
        <f>B20+B21+B22</f>
        <v>13425176</v>
      </c>
      <c r="C23" s="284">
        <f aca="true" t="shared" si="2" ref="C23:H23">C20+C21+C22</f>
        <v>46920</v>
      </c>
      <c r="D23" s="284">
        <f t="shared" si="2"/>
        <v>13472096</v>
      </c>
      <c r="E23" s="330">
        <f t="shared" si="2"/>
        <v>0</v>
      </c>
      <c r="F23" s="284">
        <f t="shared" si="2"/>
        <v>38845437</v>
      </c>
      <c r="G23" s="284">
        <f t="shared" si="2"/>
        <v>912376</v>
      </c>
      <c r="H23" s="284">
        <f t="shared" si="2"/>
        <v>39757813</v>
      </c>
      <c r="I23" s="284"/>
      <c r="J23" s="284">
        <f>SUM(J20:J22)</f>
        <v>53229909</v>
      </c>
      <c r="K23" s="284">
        <f>K20+K21+K22</f>
        <v>50254280</v>
      </c>
      <c r="L23" s="284">
        <f>L20+L21+L22</f>
        <v>42191601</v>
      </c>
      <c r="M23" s="284">
        <v>36923523</v>
      </c>
      <c r="N23" s="285">
        <v>31806435</v>
      </c>
      <c r="O23" s="285">
        <v>24807072</v>
      </c>
      <c r="P23" s="285">
        <v>22456684</v>
      </c>
      <c r="Q23" s="285">
        <v>21881201</v>
      </c>
      <c r="R23" s="285">
        <v>20688842</v>
      </c>
      <c r="S23" s="284">
        <v>18352498</v>
      </c>
      <c r="T23" s="284">
        <f>SUM(T20:T22)</f>
        <v>16888471</v>
      </c>
      <c r="U23" s="284">
        <f>SUM(U20:U22)</f>
        <v>15587158</v>
      </c>
      <c r="V23" s="286">
        <f>(J23-K23)/K23</f>
        <v>0.05921145422837617</v>
      </c>
      <c r="W23" s="174"/>
    </row>
    <row r="24" spans="1:23" ht="12.75">
      <c r="A24" s="57"/>
      <c r="B24" s="327"/>
      <c r="C24" s="327"/>
      <c r="D24" s="327"/>
      <c r="E24" s="327"/>
      <c r="F24" s="327"/>
      <c r="G24" s="327"/>
      <c r="H24" s="327"/>
      <c r="I24" s="169"/>
      <c r="J24" s="169"/>
      <c r="K24" s="169"/>
      <c r="L24" s="169"/>
      <c r="M24" s="169"/>
      <c r="N24" s="169"/>
      <c r="O24" s="170"/>
      <c r="P24" s="169"/>
      <c r="Q24" s="170"/>
      <c r="R24" s="170"/>
      <c r="S24" s="169"/>
      <c r="T24" s="169"/>
      <c r="U24" s="169"/>
      <c r="V24" s="171"/>
      <c r="W24" s="172"/>
    </row>
    <row r="25" spans="1:23" s="76" customFormat="1" ht="12.75">
      <c r="A25" s="283" t="s">
        <v>6</v>
      </c>
      <c r="B25" s="284">
        <v>80177610</v>
      </c>
      <c r="C25" s="284">
        <f>D25-B25</f>
        <v>595495</v>
      </c>
      <c r="D25" s="284">
        <v>80773105</v>
      </c>
      <c r="E25" s="331"/>
      <c r="F25" s="284">
        <f>250986546-B25</f>
        <v>170808936</v>
      </c>
      <c r="G25" s="284">
        <f>H25-F25</f>
        <v>12171365</v>
      </c>
      <c r="H25" s="284">
        <f>J25-D25</f>
        <v>182980301</v>
      </c>
      <c r="I25" s="285"/>
      <c r="J25" s="285">
        <v>263753406</v>
      </c>
      <c r="K25" s="285">
        <v>249223044</v>
      </c>
      <c r="L25" s="285">
        <v>207421046</v>
      </c>
      <c r="M25" s="285">
        <v>202238398</v>
      </c>
      <c r="N25" s="285">
        <v>179047362</v>
      </c>
      <c r="O25" s="285">
        <v>151733359</v>
      </c>
      <c r="P25" s="285">
        <v>141239896</v>
      </c>
      <c r="Q25" s="285">
        <v>142732204</v>
      </c>
      <c r="R25" s="285">
        <v>138614266</v>
      </c>
      <c r="S25" s="285">
        <v>126693764</v>
      </c>
      <c r="T25" s="284">
        <v>116369633</v>
      </c>
      <c r="U25" s="284">
        <v>108652483</v>
      </c>
      <c r="V25" s="286">
        <f>(J25-K25)/K25</f>
        <v>0.05830264235116236</v>
      </c>
      <c r="W25" s="174"/>
    </row>
    <row r="26" spans="1:23" ht="12.75">
      <c r="A26" s="288" t="s">
        <v>21</v>
      </c>
      <c r="B26" s="289">
        <f>B23/B25</f>
        <v>0.16744295570795886</v>
      </c>
      <c r="C26" s="289">
        <f aca="true" t="shared" si="3" ref="C26:H26">C23/C25</f>
        <v>0.07879159354822458</v>
      </c>
      <c r="D26" s="289">
        <f t="shared" si="3"/>
        <v>0.16678937871708657</v>
      </c>
      <c r="E26" s="332" t="e">
        <f t="shared" si="3"/>
        <v>#DIV/0!</v>
      </c>
      <c r="F26" s="289">
        <f t="shared" si="3"/>
        <v>0.2274204026421662</v>
      </c>
      <c r="G26" s="289">
        <f t="shared" si="3"/>
        <v>0.07496086100449703</v>
      </c>
      <c r="H26" s="289">
        <f t="shared" si="3"/>
        <v>0.21727919772085194</v>
      </c>
      <c r="I26" s="289" t="e">
        <f aca="true" t="shared" si="4" ref="I26:U26">I23/I25</f>
        <v>#DIV/0!</v>
      </c>
      <c r="J26" s="289">
        <f>J23/J25</f>
        <v>0.20181695397707963</v>
      </c>
      <c r="K26" s="289">
        <f>K23/K25</f>
        <v>0.20164379342064373</v>
      </c>
      <c r="L26" s="244">
        <f>L23/L25</f>
        <v>0.2034104147753647</v>
      </c>
      <c r="M26" s="244">
        <v>0.18257424586601007</v>
      </c>
      <c r="N26" s="244">
        <v>0.17764257816878642</v>
      </c>
      <c r="O26" s="244">
        <f t="shared" si="4"/>
        <v>0.1634912201475748</v>
      </c>
      <c r="P26" s="244">
        <f t="shared" si="4"/>
        <v>0.15899674692482074</v>
      </c>
      <c r="Q26" s="244">
        <f t="shared" si="4"/>
        <v>0.15330248105746339</v>
      </c>
      <c r="R26" s="244">
        <f t="shared" si="4"/>
        <v>0.14925478161100678</v>
      </c>
      <c r="S26" s="244">
        <f t="shared" si="4"/>
        <v>0.14485715334813165</v>
      </c>
      <c r="T26" s="244">
        <f t="shared" si="4"/>
        <v>0.14512781869819938</v>
      </c>
      <c r="U26" s="244">
        <f t="shared" si="4"/>
        <v>0.14345882919215017</v>
      </c>
      <c r="V26" s="287"/>
      <c r="W26" s="167"/>
    </row>
    <row r="27" spans="1:23" ht="12.75">
      <c r="A27" s="57"/>
      <c r="B27" s="327"/>
      <c r="C27" s="327"/>
      <c r="D27" s="327"/>
      <c r="E27" s="328"/>
      <c r="F27" s="327"/>
      <c r="G27" s="327"/>
      <c r="H27" s="327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69"/>
      <c r="U27" s="172"/>
      <c r="V27" s="171"/>
      <c r="W27" s="172"/>
    </row>
    <row r="28" spans="1:23" ht="12.75">
      <c r="A28" s="54" t="s">
        <v>38</v>
      </c>
      <c r="B28" s="327"/>
      <c r="C28" s="327"/>
      <c r="D28" s="327"/>
      <c r="E28" s="328"/>
      <c r="F28" s="327"/>
      <c r="G28" s="327"/>
      <c r="H28" s="327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69"/>
      <c r="U28" s="172"/>
      <c r="V28" s="171"/>
      <c r="W28" s="172"/>
    </row>
    <row r="29" spans="1:23" ht="12.75">
      <c r="A29" s="54"/>
      <c r="B29" s="327"/>
      <c r="C29" s="327"/>
      <c r="D29" s="327"/>
      <c r="E29" s="328"/>
      <c r="F29" s="327"/>
      <c r="G29" s="327"/>
      <c r="H29" s="327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69"/>
      <c r="U29" s="172"/>
      <c r="V29" s="171"/>
      <c r="W29" s="172"/>
    </row>
    <row r="30" spans="1:23" ht="12.75">
      <c r="A30" s="57" t="s">
        <v>2</v>
      </c>
      <c r="B30" s="169">
        <v>4926.091</v>
      </c>
      <c r="C30" s="169">
        <f>D30-B30</f>
        <v>2460.1049999999996</v>
      </c>
      <c r="D30" s="169">
        <v>7386.196</v>
      </c>
      <c r="E30" s="328"/>
      <c r="F30" s="169">
        <f>151957.535-B30</f>
        <v>147031.44400000002</v>
      </c>
      <c r="G30" s="169">
        <f>H30-F30</f>
        <v>18522.35799999998</v>
      </c>
      <c r="H30" s="169">
        <f>J30-D30</f>
        <v>165553.802</v>
      </c>
      <c r="I30" s="170"/>
      <c r="J30" s="170">
        <v>172939.998</v>
      </c>
      <c r="K30" s="170">
        <v>156105.304</v>
      </c>
      <c r="L30" s="170">
        <v>117219.382</v>
      </c>
      <c r="M30" s="170">
        <v>104124</v>
      </c>
      <c r="N30" s="170">
        <v>90239.41500000001</v>
      </c>
      <c r="O30" s="170">
        <v>70115.655</v>
      </c>
      <c r="P30" s="170">
        <v>75217.386</v>
      </c>
      <c r="Q30" s="170">
        <v>76965.635</v>
      </c>
      <c r="R30" s="170">
        <v>87308.466</v>
      </c>
      <c r="S30" s="170">
        <v>86173.292</v>
      </c>
      <c r="T30" s="169">
        <v>77013</v>
      </c>
      <c r="U30" s="169">
        <v>77930</v>
      </c>
      <c r="V30" s="171">
        <f>(J30-K30)/K30</f>
        <v>0.10784190907440268</v>
      </c>
      <c r="W30" s="172"/>
    </row>
    <row r="31" spans="1:23" ht="12.75">
      <c r="A31" s="280" t="s">
        <v>3</v>
      </c>
      <c r="B31" s="236">
        <v>0</v>
      </c>
      <c r="C31" s="236">
        <f>D31-B31</f>
        <v>1.654</v>
      </c>
      <c r="D31" s="236">
        <v>1.654</v>
      </c>
      <c r="E31" s="329"/>
      <c r="F31" s="236">
        <f>0.37-B31</f>
        <v>0.37</v>
      </c>
      <c r="G31" s="236">
        <f>H31-F31</f>
        <v>130.938</v>
      </c>
      <c r="H31" s="236">
        <f>J31-D31</f>
        <v>131.308</v>
      </c>
      <c r="I31" s="232"/>
      <c r="J31" s="232">
        <v>132.962</v>
      </c>
      <c r="K31" s="232">
        <v>125.501</v>
      </c>
      <c r="L31" s="232">
        <v>96.168</v>
      </c>
      <c r="M31" s="232">
        <v>182</v>
      </c>
      <c r="N31" s="232">
        <v>236.842</v>
      </c>
      <c r="O31" s="232">
        <v>283.03</v>
      </c>
      <c r="P31" s="232">
        <v>490.701</v>
      </c>
      <c r="Q31" s="232">
        <v>172.519</v>
      </c>
      <c r="R31" s="232">
        <v>382.02799999999996</v>
      </c>
      <c r="S31" s="232">
        <v>217.78199999999998</v>
      </c>
      <c r="T31" s="236">
        <v>202</v>
      </c>
      <c r="U31" s="236">
        <v>55</v>
      </c>
      <c r="V31" s="281">
        <f>(J31-K31)/K31</f>
        <v>0.05944972550019509</v>
      </c>
      <c r="W31" s="172" t="s">
        <v>177</v>
      </c>
    </row>
    <row r="32" spans="1:23" ht="12.75">
      <c r="A32" s="57" t="s">
        <v>4</v>
      </c>
      <c r="B32" s="173">
        <v>0</v>
      </c>
      <c r="C32" s="169">
        <f>D32-B32</f>
        <v>0</v>
      </c>
      <c r="D32" s="169">
        <v>0</v>
      </c>
      <c r="E32" s="170"/>
      <c r="F32" s="169">
        <v>0</v>
      </c>
      <c r="G32" s="169">
        <f>H32-F32</f>
        <v>0</v>
      </c>
      <c r="H32" s="169">
        <f>J32-D32</f>
        <v>0</v>
      </c>
      <c r="I32" s="170"/>
      <c r="J32" s="170">
        <v>0</v>
      </c>
      <c r="K32" s="170">
        <v>0</v>
      </c>
      <c r="L32" s="170">
        <v>0.01</v>
      </c>
      <c r="M32" s="170">
        <v>112</v>
      </c>
      <c r="N32" s="170">
        <v>16.313</v>
      </c>
      <c r="O32" s="170">
        <v>4.285</v>
      </c>
      <c r="P32" s="170">
        <v>8.298</v>
      </c>
      <c r="Q32" s="170">
        <v>6.702999999999999</v>
      </c>
      <c r="R32" s="170">
        <v>15.326</v>
      </c>
      <c r="S32" s="170">
        <v>0</v>
      </c>
      <c r="T32" s="169">
        <v>1</v>
      </c>
      <c r="U32" s="169">
        <v>19</v>
      </c>
      <c r="V32" s="171"/>
      <c r="W32" s="172"/>
    </row>
    <row r="33" spans="1:23" s="76" customFormat="1" ht="12.75">
      <c r="A33" s="283" t="s">
        <v>5</v>
      </c>
      <c r="B33" s="284">
        <f>B30+B31+B32</f>
        <v>4926.091</v>
      </c>
      <c r="C33" s="284">
        <f aca="true" t="shared" si="5" ref="C33:H33">C30+C31+C32</f>
        <v>2461.7589999999996</v>
      </c>
      <c r="D33" s="284">
        <f t="shared" si="5"/>
        <v>7387.85</v>
      </c>
      <c r="E33" s="330">
        <f t="shared" si="5"/>
        <v>0</v>
      </c>
      <c r="F33" s="284">
        <f t="shared" si="5"/>
        <v>147031.814</v>
      </c>
      <c r="G33" s="284">
        <f t="shared" si="5"/>
        <v>18653.295999999977</v>
      </c>
      <c r="H33" s="284">
        <f t="shared" si="5"/>
        <v>165685.11</v>
      </c>
      <c r="I33" s="284"/>
      <c r="J33" s="284">
        <f>SUM(J30:J32)</f>
        <v>173072.96</v>
      </c>
      <c r="K33" s="284">
        <f>K30+K31+K32</f>
        <v>156230.805</v>
      </c>
      <c r="L33" s="284">
        <f>L30+L31+L32</f>
        <v>117315.56</v>
      </c>
      <c r="M33" s="284">
        <v>104418</v>
      </c>
      <c r="N33" s="285">
        <v>90492.57</v>
      </c>
      <c r="O33" s="285">
        <v>70402.97</v>
      </c>
      <c r="P33" s="285">
        <v>75716.38500000001</v>
      </c>
      <c r="Q33" s="285">
        <v>77144.857</v>
      </c>
      <c r="R33" s="285">
        <v>87705.82</v>
      </c>
      <c r="S33" s="284">
        <v>86391.07400000001</v>
      </c>
      <c r="T33" s="284">
        <f>SUM(T30:T32)</f>
        <v>77216</v>
      </c>
      <c r="U33" s="284"/>
      <c r="V33" s="286">
        <f>(J33-K33)/K33</f>
        <v>0.10780303538729126</v>
      </c>
      <c r="W33" s="174"/>
    </row>
    <row r="34" spans="1:23" ht="12.75">
      <c r="A34" s="57"/>
      <c r="B34" s="327"/>
      <c r="C34" s="327"/>
      <c r="D34" s="327"/>
      <c r="E34" s="327"/>
      <c r="F34" s="327"/>
      <c r="G34" s="327"/>
      <c r="H34" s="327"/>
      <c r="I34" s="169"/>
      <c r="J34" s="169"/>
      <c r="K34" s="169"/>
      <c r="L34" s="169"/>
      <c r="M34" s="169"/>
      <c r="N34" s="169"/>
      <c r="O34" s="175"/>
      <c r="P34" s="169"/>
      <c r="Q34" s="170"/>
      <c r="R34" s="170"/>
      <c r="S34" s="169"/>
      <c r="T34" s="169"/>
      <c r="U34" s="169"/>
      <c r="V34" s="171"/>
      <c r="W34" s="172"/>
    </row>
    <row r="35" spans="1:23" s="76" customFormat="1" ht="12.75">
      <c r="A35" s="283" t="s">
        <v>6</v>
      </c>
      <c r="B35" s="284">
        <v>55959.594</v>
      </c>
      <c r="C35" s="284">
        <f>D35-B35</f>
        <v>73830.90000000001</v>
      </c>
      <c r="D35" s="284">
        <v>129790.494</v>
      </c>
      <c r="E35" s="331"/>
      <c r="F35" s="284">
        <f>821167.877-B35</f>
        <v>765208.2829999999</v>
      </c>
      <c r="G35" s="284">
        <f>H35-F35</f>
        <v>115874.65099999995</v>
      </c>
      <c r="H35" s="284">
        <f>J35-D35</f>
        <v>881082.9339999999</v>
      </c>
      <c r="I35" s="285"/>
      <c r="J35" s="285">
        <v>1010873.428</v>
      </c>
      <c r="K35" s="285">
        <v>918305.644</v>
      </c>
      <c r="L35" s="285">
        <v>715552</v>
      </c>
      <c r="M35" s="285">
        <v>628813.667</v>
      </c>
      <c r="N35" s="285">
        <v>610144.569</v>
      </c>
      <c r="O35" s="285">
        <v>576835.373</v>
      </c>
      <c r="P35" s="285">
        <v>574066.0120000001</v>
      </c>
      <c r="Q35" s="285">
        <v>577031.488</v>
      </c>
      <c r="R35" s="285">
        <v>607519.562</v>
      </c>
      <c r="S35" s="285">
        <v>583485.189</v>
      </c>
      <c r="T35" s="284">
        <v>547964</v>
      </c>
      <c r="U35" s="284">
        <v>542071</v>
      </c>
      <c r="V35" s="286">
        <f>(J35-K35)/K35</f>
        <v>0.1008028041696322</v>
      </c>
      <c r="W35" s="174"/>
    </row>
    <row r="36" spans="1:23" ht="12.75">
      <c r="A36" s="288" t="s">
        <v>21</v>
      </c>
      <c r="B36" s="289">
        <f aca="true" t="shared" si="6" ref="B36:K36">B33/B35</f>
        <v>0.08802942708983916</v>
      </c>
      <c r="C36" s="289">
        <f t="shared" si="6"/>
        <v>0.03334320724791381</v>
      </c>
      <c r="D36" s="289">
        <f t="shared" si="6"/>
        <v>0.05692134895487801</v>
      </c>
      <c r="E36" s="332" t="e">
        <f t="shared" si="6"/>
        <v>#DIV/0!</v>
      </c>
      <c r="F36" s="289">
        <f t="shared" si="6"/>
        <v>0.19214613493670196</v>
      </c>
      <c r="G36" s="289">
        <f t="shared" si="6"/>
        <v>0.16097822810271062</v>
      </c>
      <c r="H36" s="289">
        <f t="shared" si="6"/>
        <v>0.18804712202041132</v>
      </c>
      <c r="I36" s="289" t="e">
        <f t="shared" si="6"/>
        <v>#DIV/0!</v>
      </c>
      <c r="J36" s="289">
        <f>J33/J35</f>
        <v>0.171211306189364</v>
      </c>
      <c r="K36" s="289">
        <f t="shared" si="6"/>
        <v>0.17012941826153036</v>
      </c>
      <c r="L36" s="244">
        <f>L33/L35</f>
        <v>0.16395113143419346</v>
      </c>
      <c r="M36" s="244">
        <v>0.16605555107949013</v>
      </c>
      <c r="N36" s="244">
        <v>0.1483133253948541</v>
      </c>
      <c r="O36" s="244">
        <f aca="true" t="shared" si="7" ref="O36:U36">O33/O35</f>
        <v>0.12205036878000199</v>
      </c>
      <c r="P36" s="244">
        <f t="shared" si="7"/>
        <v>0.13189491002299575</v>
      </c>
      <c r="Q36" s="244">
        <f t="shared" si="7"/>
        <v>0.13369262961261483</v>
      </c>
      <c r="R36" s="244">
        <f t="shared" si="7"/>
        <v>0.1443670714260885</v>
      </c>
      <c r="S36" s="244">
        <f t="shared" si="7"/>
        <v>0.14806044031393573</v>
      </c>
      <c r="T36" s="244">
        <f t="shared" si="7"/>
        <v>0.14091436663722434</v>
      </c>
      <c r="U36" s="244">
        <f t="shared" si="7"/>
        <v>0</v>
      </c>
      <c r="V36" s="287"/>
      <c r="W36" s="172"/>
    </row>
    <row r="37" spans="1:23" ht="15" customHeight="1">
      <c r="A37" s="160" t="s">
        <v>77</v>
      </c>
      <c r="B37" s="22"/>
      <c r="C37" s="22"/>
      <c r="D37" s="22"/>
      <c r="E37" s="23"/>
      <c r="F37" s="22"/>
      <c r="G37" s="22"/>
      <c r="H37" s="22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2"/>
      <c r="U37" s="58"/>
      <c r="V37" s="58"/>
      <c r="W37" s="58"/>
    </row>
    <row r="38" spans="1:23" ht="37.5" customHeight="1">
      <c r="A38" s="351" t="s">
        <v>208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58"/>
    </row>
    <row r="39" spans="2:23" ht="12.7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</row>
    <row r="40" spans="1:23" ht="12.75">
      <c r="A40" s="157" t="s">
        <v>168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19"/>
      <c r="W40" s="58"/>
    </row>
    <row r="41" ht="12.75">
      <c r="A41" s="157" t="s">
        <v>167</v>
      </c>
    </row>
  </sheetData>
  <sheetProtection/>
  <mergeCells count="2">
    <mergeCell ref="L4:U4"/>
    <mergeCell ref="A38:V38"/>
  </mergeCells>
  <printOptions/>
  <pageMargins left="0.1968503937007874" right="0.1968503937007874" top="0.5511811023622047" bottom="0" header="0" footer="0"/>
  <pageSetup fitToHeight="1" fitToWidth="1" horizontalDpi="600" verticalDpi="600" orientation="portrait" paperSize="9" scale="88" r:id="rId1"/>
  <ignoredErrors>
    <ignoredError sqref="K17:K18 J16:L16 I13:J13 I23:I24 I27:I30 K19 K13:L13 K23:K24 K26:K29 J33:L33 C10:C12 G10:G12 B13 K14 I14:I15 C13:H13 I17:I19 H25:I25 B23:E24 B33 C31:C35 D33:D34 E33:E34 F25:G25 F22:H22 H31:H32 H21:I21 G33:G35 B17:H19 H10:H12 C15 F30:H30 C21 L23 C25 L26 J36:L36 C30 G31:G32 F21:G21 C22 I22 H20 F20:G20 C20 I20 F15:H15 F33:F35 F10:F12 G23:H24 F23:F24 F31:F32 H33:H35 J23 J26" unlockedFormula="1"/>
    <ignoredError sqref="I16 H36:I36 I26 B26:H26 B36:G36 B16:H16" evalError="1" unlockedFormula="1"/>
    <ignoredError sqref="E35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W52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1" width="3.8515625" style="96" customWidth="1"/>
    <col min="2" max="2" width="24.7109375" style="96" bestFit="1" customWidth="1"/>
    <col min="3" max="3" width="27.00390625" style="96" bestFit="1" customWidth="1"/>
    <col min="4" max="4" width="1.7109375" style="96" customWidth="1"/>
    <col min="5" max="5" width="28.28125" style="96" customWidth="1"/>
    <col min="6" max="6" width="25.7109375" style="96" bestFit="1" customWidth="1"/>
    <col min="7" max="16384" width="9.140625" style="96" customWidth="1"/>
  </cols>
  <sheetData>
    <row r="1" ht="15">
      <c r="A1" s="94" t="s">
        <v>275</v>
      </c>
    </row>
    <row r="3" spans="1:6" ht="12">
      <c r="A3" s="112"/>
      <c r="B3" s="357" t="s">
        <v>2</v>
      </c>
      <c r="C3" s="357"/>
      <c r="D3" s="357"/>
      <c r="E3" s="357"/>
      <c r="F3" s="357"/>
    </row>
    <row r="4" spans="1:6" ht="12">
      <c r="A4" s="114"/>
      <c r="B4" s="356" t="s">
        <v>93</v>
      </c>
      <c r="C4" s="356"/>
      <c r="D4" s="105"/>
      <c r="E4" s="356" t="s">
        <v>95</v>
      </c>
      <c r="F4" s="356"/>
    </row>
    <row r="5" spans="1:49" ht="12.75">
      <c r="A5" s="115"/>
      <c r="B5" s="258" t="s">
        <v>96</v>
      </c>
      <c r="C5" s="257" t="s">
        <v>94</v>
      </c>
      <c r="D5" s="105"/>
      <c r="E5" s="258" t="s">
        <v>96</v>
      </c>
      <c r="F5" s="257" t="s">
        <v>94</v>
      </c>
      <c r="J5" s="358"/>
      <c r="K5" s="358"/>
      <c r="L5" s="290"/>
      <c r="M5" s="291"/>
      <c r="N5" s="292"/>
      <c r="O5" s="291"/>
      <c r="P5" s="292"/>
      <c r="Q5" s="291"/>
      <c r="R5" s="292"/>
      <c r="S5" s="291"/>
      <c r="T5" s="292"/>
      <c r="U5" s="291"/>
      <c r="V5" s="292"/>
      <c r="W5" s="291"/>
      <c r="X5" s="292"/>
      <c r="Y5" s="291"/>
      <c r="Z5" s="292"/>
      <c r="AA5" s="291"/>
      <c r="AB5" s="292"/>
      <c r="AC5" s="291"/>
      <c r="AD5" s="292"/>
      <c r="AE5" s="291"/>
      <c r="AF5" s="292"/>
      <c r="AG5" s="291"/>
      <c r="AH5" s="292"/>
      <c r="AI5" s="291"/>
      <c r="AJ5" s="292"/>
      <c r="AK5" s="291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</row>
    <row r="6" spans="2:49" ht="12.75">
      <c r="B6" s="149"/>
      <c r="C6" s="149"/>
      <c r="D6" s="149"/>
      <c r="E6" s="149"/>
      <c r="H6" s="178"/>
      <c r="J6" s="358"/>
      <c r="K6" s="358"/>
      <c r="L6" s="290"/>
      <c r="M6" s="291"/>
      <c r="N6" s="292"/>
      <c r="O6" s="291"/>
      <c r="P6" s="292"/>
      <c r="Q6" s="291"/>
      <c r="R6" s="292"/>
      <c r="S6" s="291"/>
      <c r="T6" s="292"/>
      <c r="U6" s="291"/>
      <c r="V6" s="292"/>
      <c r="W6" s="291"/>
      <c r="X6" s="292"/>
      <c r="Y6" s="291"/>
      <c r="Z6" s="292"/>
      <c r="AA6" s="291"/>
      <c r="AB6" s="292"/>
      <c r="AC6" s="291"/>
      <c r="AD6" s="292"/>
      <c r="AE6" s="291"/>
      <c r="AF6" s="292"/>
      <c r="AG6" s="291"/>
      <c r="AH6" s="292"/>
      <c r="AI6" s="291"/>
      <c r="AJ6" s="292"/>
      <c r="AK6" s="291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</row>
    <row r="7" spans="1:49" ht="12.75">
      <c r="A7" s="116">
        <v>1</v>
      </c>
      <c r="B7" s="295" t="s">
        <v>196</v>
      </c>
      <c r="C7" s="295" t="s">
        <v>196</v>
      </c>
      <c r="D7" s="137"/>
      <c r="E7" s="295" t="s">
        <v>132</v>
      </c>
      <c r="F7" s="295" t="s">
        <v>296</v>
      </c>
      <c r="I7" s="358"/>
      <c r="J7" s="358"/>
      <c r="K7" s="290"/>
      <c r="L7" s="291"/>
      <c r="M7" s="292"/>
      <c r="N7" s="291"/>
      <c r="O7" s="292"/>
      <c r="P7" s="291"/>
      <c r="Q7" s="292"/>
      <c r="R7" s="291"/>
      <c r="S7" s="292"/>
      <c r="T7" s="291"/>
      <c r="U7" s="292"/>
      <c r="V7" s="291"/>
      <c r="W7" s="292"/>
      <c r="X7" s="291"/>
      <c r="Y7" s="292"/>
      <c r="Z7" s="291"/>
      <c r="AA7" s="292"/>
      <c r="AB7" s="291"/>
      <c r="AC7" s="292"/>
      <c r="AD7" s="291"/>
      <c r="AE7" s="292"/>
      <c r="AF7" s="291"/>
      <c r="AG7" s="292"/>
      <c r="AH7" s="291"/>
      <c r="AI7" s="292"/>
      <c r="AJ7" s="291"/>
      <c r="AK7" s="291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</row>
    <row r="8" spans="1:49" ht="12.75">
      <c r="A8" s="116">
        <v>2</v>
      </c>
      <c r="B8" s="137" t="s">
        <v>193</v>
      </c>
      <c r="C8" s="137" t="s">
        <v>193</v>
      </c>
      <c r="D8" s="137"/>
      <c r="E8" s="137" t="s">
        <v>166</v>
      </c>
      <c r="F8" s="137" t="s">
        <v>97</v>
      </c>
      <c r="I8" s="358"/>
      <c r="J8" s="358"/>
      <c r="K8" s="358"/>
      <c r="L8" s="358"/>
      <c r="M8" s="290"/>
      <c r="N8" s="291"/>
      <c r="O8" s="292"/>
      <c r="P8" s="291"/>
      <c r="Q8" s="292"/>
      <c r="R8" s="291"/>
      <c r="S8" s="292"/>
      <c r="T8" s="291"/>
      <c r="U8" s="292"/>
      <c r="V8" s="291"/>
      <c r="W8" s="292"/>
      <c r="X8" s="291"/>
      <c r="Y8" s="292"/>
      <c r="Z8" s="291"/>
      <c r="AA8" s="292"/>
      <c r="AB8" s="291"/>
      <c r="AC8" s="292"/>
      <c r="AD8" s="291"/>
      <c r="AE8" s="292"/>
      <c r="AF8" s="291"/>
      <c r="AG8" s="292"/>
      <c r="AH8" s="291"/>
      <c r="AI8" s="292"/>
      <c r="AJ8" s="291"/>
      <c r="AK8" s="292"/>
      <c r="AL8" s="291"/>
      <c r="AM8" s="291"/>
      <c r="AN8" s="293"/>
      <c r="AO8" s="293"/>
      <c r="AP8" s="293"/>
      <c r="AQ8" s="293"/>
      <c r="AR8" s="293"/>
      <c r="AS8" s="293"/>
      <c r="AT8" s="293"/>
      <c r="AU8" s="293"/>
      <c r="AV8" s="293"/>
      <c r="AW8" s="293"/>
    </row>
    <row r="9" spans="1:49" ht="18" customHeight="1">
      <c r="A9" s="116">
        <v>3</v>
      </c>
      <c r="B9" s="295" t="s">
        <v>98</v>
      </c>
      <c r="C9" s="295" t="s">
        <v>276</v>
      </c>
      <c r="D9" s="137"/>
      <c r="E9" s="295" t="s">
        <v>299</v>
      </c>
      <c r="F9" s="295" t="s">
        <v>215</v>
      </c>
      <c r="I9" s="358"/>
      <c r="J9" s="358"/>
      <c r="K9" s="358"/>
      <c r="L9" s="358"/>
      <c r="M9" s="290"/>
      <c r="N9" s="291"/>
      <c r="O9" s="291"/>
      <c r="P9" s="291"/>
      <c r="Q9" s="291"/>
      <c r="R9" s="291"/>
      <c r="S9" s="292"/>
      <c r="T9" s="291"/>
      <c r="U9" s="292"/>
      <c r="V9" s="291"/>
      <c r="W9" s="292"/>
      <c r="X9" s="291"/>
      <c r="Y9" s="292"/>
      <c r="Z9" s="291"/>
      <c r="AA9" s="292"/>
      <c r="AB9" s="291"/>
      <c r="AC9" s="292"/>
      <c r="AD9" s="291"/>
      <c r="AE9" s="292"/>
      <c r="AF9" s="291"/>
      <c r="AG9" s="292"/>
      <c r="AH9" s="291"/>
      <c r="AI9" s="292"/>
      <c r="AJ9" s="291"/>
      <c r="AK9" s="292"/>
      <c r="AL9" s="291"/>
      <c r="AM9" s="291"/>
      <c r="AN9" s="293"/>
      <c r="AO9" s="293"/>
      <c r="AP9" s="293"/>
      <c r="AQ9" s="293"/>
      <c r="AR9" s="293"/>
      <c r="AS9" s="293"/>
      <c r="AT9" s="293"/>
      <c r="AU9" s="293"/>
      <c r="AV9" s="293"/>
      <c r="AW9" s="293"/>
    </row>
    <row r="10" spans="1:49" ht="18" customHeight="1">
      <c r="A10" s="116">
        <v>4</v>
      </c>
      <c r="B10" s="137" t="s">
        <v>97</v>
      </c>
      <c r="C10" s="137" t="s">
        <v>98</v>
      </c>
      <c r="D10" s="137"/>
      <c r="E10" s="137" t="s">
        <v>98</v>
      </c>
      <c r="F10" s="137" t="s">
        <v>286</v>
      </c>
      <c r="I10" s="358"/>
      <c r="J10" s="358"/>
      <c r="K10" s="358"/>
      <c r="L10" s="358"/>
      <c r="M10" s="290"/>
      <c r="N10" s="291"/>
      <c r="O10" s="291"/>
      <c r="P10" s="291"/>
      <c r="Q10" s="291"/>
      <c r="R10" s="291"/>
      <c r="S10" s="291"/>
      <c r="T10" s="291"/>
      <c r="U10" s="291"/>
      <c r="V10" s="291"/>
      <c r="W10" s="292"/>
      <c r="X10" s="291"/>
      <c r="Y10" s="292"/>
      <c r="Z10" s="291"/>
      <c r="AA10" s="292"/>
      <c r="AB10" s="291"/>
      <c r="AC10" s="292"/>
      <c r="AD10" s="291"/>
      <c r="AE10" s="292"/>
      <c r="AF10" s="291"/>
      <c r="AG10" s="291"/>
      <c r="AH10" s="291"/>
      <c r="AI10" s="291"/>
      <c r="AJ10" s="291"/>
      <c r="AK10" s="291"/>
      <c r="AL10" s="291"/>
      <c r="AM10" s="291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</row>
    <row r="11" spans="1:49" ht="18" customHeight="1">
      <c r="A11" s="116">
        <v>5</v>
      </c>
      <c r="B11" s="295" t="s">
        <v>209</v>
      </c>
      <c r="C11" s="295" t="s">
        <v>195</v>
      </c>
      <c r="D11" s="137"/>
      <c r="E11" s="295" t="s">
        <v>300</v>
      </c>
      <c r="F11" s="295" t="s">
        <v>211</v>
      </c>
      <c r="I11" s="358"/>
      <c r="J11" s="358"/>
      <c r="K11" s="358"/>
      <c r="L11" s="358"/>
      <c r="M11" s="290"/>
      <c r="N11" s="291"/>
      <c r="O11" s="292"/>
      <c r="P11" s="291"/>
      <c r="Q11" s="291"/>
      <c r="R11" s="291"/>
      <c r="S11" s="291"/>
      <c r="T11" s="291"/>
      <c r="U11" s="292"/>
      <c r="V11" s="291"/>
      <c r="W11" s="292"/>
      <c r="X11" s="291"/>
      <c r="Y11" s="292"/>
      <c r="Z11" s="291"/>
      <c r="AA11" s="292"/>
      <c r="AB11" s="291"/>
      <c r="AC11" s="292"/>
      <c r="AD11" s="291"/>
      <c r="AE11" s="292"/>
      <c r="AF11" s="291"/>
      <c r="AG11" s="292"/>
      <c r="AH11" s="291"/>
      <c r="AI11" s="291"/>
      <c r="AJ11" s="291"/>
      <c r="AK11" s="291"/>
      <c r="AL11" s="291"/>
      <c r="AM11" s="291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</row>
    <row r="12" spans="1:49" ht="18" customHeight="1">
      <c r="A12" s="116">
        <v>6</v>
      </c>
      <c r="B12" s="137" t="s">
        <v>194</v>
      </c>
      <c r="C12" s="137" t="s">
        <v>178</v>
      </c>
      <c r="D12" s="137"/>
      <c r="E12" s="137" t="s">
        <v>222</v>
      </c>
      <c r="F12" s="137" t="s">
        <v>297</v>
      </c>
      <c r="I12" s="358"/>
      <c r="J12" s="358"/>
      <c r="K12" s="358"/>
      <c r="L12" s="358"/>
      <c r="M12" s="290"/>
      <c r="N12" s="291"/>
      <c r="O12" s="291"/>
      <c r="P12" s="291"/>
      <c r="Q12" s="291"/>
      <c r="R12" s="291"/>
      <c r="S12" s="291"/>
      <c r="T12" s="291"/>
      <c r="U12" s="292"/>
      <c r="V12" s="291"/>
      <c r="W12" s="292"/>
      <c r="X12" s="291"/>
      <c r="Y12" s="292"/>
      <c r="Z12" s="291"/>
      <c r="AA12" s="292"/>
      <c r="AB12" s="291"/>
      <c r="AC12" s="292"/>
      <c r="AD12" s="291"/>
      <c r="AE12" s="292"/>
      <c r="AF12" s="291"/>
      <c r="AG12" s="292"/>
      <c r="AH12" s="291"/>
      <c r="AI12" s="291"/>
      <c r="AJ12" s="291"/>
      <c r="AK12" s="292"/>
      <c r="AL12" s="291"/>
      <c r="AM12" s="291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</row>
    <row r="13" spans="1:49" ht="18" customHeight="1">
      <c r="A13" s="116">
        <v>7</v>
      </c>
      <c r="B13" s="295" t="s">
        <v>210</v>
      </c>
      <c r="C13" s="295" t="s">
        <v>97</v>
      </c>
      <c r="D13" s="137"/>
      <c r="E13" s="295" t="s">
        <v>196</v>
      </c>
      <c r="F13" s="295" t="s">
        <v>214</v>
      </c>
      <c r="I13" s="358"/>
      <c r="J13" s="358"/>
      <c r="K13" s="358"/>
      <c r="L13" s="358"/>
      <c r="M13" s="290"/>
      <c r="N13" s="291"/>
      <c r="O13" s="291"/>
      <c r="P13" s="291"/>
      <c r="Q13" s="291"/>
      <c r="R13" s="291"/>
      <c r="S13" s="291"/>
      <c r="T13" s="291"/>
      <c r="U13" s="291"/>
      <c r="V13" s="291"/>
      <c r="W13" s="292"/>
      <c r="X13" s="291"/>
      <c r="Y13" s="292"/>
      <c r="Z13" s="291"/>
      <c r="AA13" s="292"/>
      <c r="AB13" s="291"/>
      <c r="AC13" s="292"/>
      <c r="AD13" s="291"/>
      <c r="AE13" s="292"/>
      <c r="AF13" s="291"/>
      <c r="AG13" s="292"/>
      <c r="AH13" s="291"/>
      <c r="AI13" s="291"/>
      <c r="AJ13" s="291"/>
      <c r="AK13" s="291"/>
      <c r="AL13" s="291"/>
      <c r="AM13" s="291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</row>
    <row r="14" spans="1:49" ht="12.75">
      <c r="A14" s="116">
        <v>8</v>
      </c>
      <c r="B14" s="137" t="s">
        <v>276</v>
      </c>
      <c r="C14" s="137" t="s">
        <v>213</v>
      </c>
      <c r="D14" s="137"/>
      <c r="E14" s="137" t="s">
        <v>297</v>
      </c>
      <c r="F14" s="137" t="s">
        <v>298</v>
      </c>
      <c r="I14" s="358"/>
      <c r="J14" s="358"/>
      <c r="K14" s="358"/>
      <c r="L14" s="358"/>
      <c r="M14" s="290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2"/>
      <c r="Z14" s="291"/>
      <c r="AA14" s="292"/>
      <c r="AB14" s="291"/>
      <c r="AC14" s="292"/>
      <c r="AD14" s="291"/>
      <c r="AE14" s="292"/>
      <c r="AF14" s="291"/>
      <c r="AG14" s="291"/>
      <c r="AH14" s="291"/>
      <c r="AI14" s="291"/>
      <c r="AJ14" s="291"/>
      <c r="AK14" s="291"/>
      <c r="AL14" s="291"/>
      <c r="AM14" s="291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</row>
    <row r="15" spans="1:40" ht="18" customHeight="1">
      <c r="A15" s="116">
        <v>9</v>
      </c>
      <c r="B15" s="295" t="s">
        <v>211</v>
      </c>
      <c r="C15" s="295" t="s">
        <v>212</v>
      </c>
      <c r="D15" s="137"/>
      <c r="E15" s="295" t="s">
        <v>301</v>
      </c>
      <c r="F15" s="295" t="s">
        <v>293</v>
      </c>
      <c r="I15" s="358"/>
      <c r="J15" s="358"/>
      <c r="K15" s="358"/>
      <c r="L15" s="358"/>
      <c r="M15" s="290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2"/>
      <c r="Z15" s="291"/>
      <c r="AA15" s="292"/>
      <c r="AB15" s="291"/>
      <c r="AC15" s="292"/>
      <c r="AD15" s="291"/>
      <c r="AE15" s="292"/>
      <c r="AF15" s="291"/>
      <c r="AG15" s="291"/>
      <c r="AH15" s="291"/>
      <c r="AI15" s="291"/>
      <c r="AJ15" s="291"/>
      <c r="AK15" s="291"/>
      <c r="AL15" s="291"/>
      <c r="AM15" s="291"/>
      <c r="AN15" s="293"/>
    </row>
    <row r="16" spans="1:40" ht="18" customHeight="1">
      <c r="A16" s="150">
        <v>10</v>
      </c>
      <c r="B16" s="245" t="s">
        <v>277</v>
      </c>
      <c r="C16" s="137" t="s">
        <v>227</v>
      </c>
      <c r="D16" s="137"/>
      <c r="E16" s="245" t="s">
        <v>302</v>
      </c>
      <c r="F16" s="245" t="s">
        <v>196</v>
      </c>
      <c r="I16" s="358"/>
      <c r="J16" s="358"/>
      <c r="K16" s="358"/>
      <c r="L16" s="358"/>
      <c r="M16" s="290"/>
      <c r="N16" s="291"/>
      <c r="O16" s="291"/>
      <c r="P16" s="291"/>
      <c r="Q16" s="291"/>
      <c r="R16" s="291"/>
      <c r="S16" s="291"/>
      <c r="T16" s="291"/>
      <c r="U16" s="291"/>
      <c r="V16" s="291"/>
      <c r="W16" s="292"/>
      <c r="X16" s="291"/>
      <c r="Y16" s="292"/>
      <c r="Z16" s="291"/>
      <c r="AA16" s="292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3"/>
    </row>
    <row r="17" spans="1:40" ht="18" customHeight="1">
      <c r="A17" s="115"/>
      <c r="B17" s="246"/>
      <c r="C17" s="246"/>
      <c r="D17" s="246"/>
      <c r="E17" s="246"/>
      <c r="F17" s="246"/>
      <c r="K17" s="358"/>
      <c r="L17" s="358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93"/>
    </row>
    <row r="18" spans="2:40" ht="12">
      <c r="B18" s="137"/>
      <c r="C18" s="137"/>
      <c r="D18" s="137"/>
      <c r="E18" s="137"/>
      <c r="F18" s="137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</row>
    <row r="19" spans="2:6" ht="12">
      <c r="B19" s="137"/>
      <c r="C19" s="137"/>
      <c r="D19" s="137"/>
      <c r="E19" s="137"/>
      <c r="F19" s="137"/>
    </row>
    <row r="20" spans="1:39" ht="18" customHeight="1">
      <c r="A20" s="112"/>
      <c r="B20" s="357" t="s">
        <v>3</v>
      </c>
      <c r="C20" s="357"/>
      <c r="D20" s="357"/>
      <c r="E20" s="357"/>
      <c r="F20" s="357"/>
      <c r="K20" s="358"/>
      <c r="L20" s="358"/>
      <c r="M20" s="294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3"/>
    </row>
    <row r="21" spans="1:46" ht="12.75">
      <c r="A21" s="114"/>
      <c r="B21" s="356" t="s">
        <v>93</v>
      </c>
      <c r="C21" s="356"/>
      <c r="D21" s="137"/>
      <c r="E21" s="356" t="s">
        <v>95</v>
      </c>
      <c r="F21" s="356"/>
      <c r="I21" s="358"/>
      <c r="J21" s="358"/>
      <c r="K21" s="358"/>
      <c r="L21" s="358"/>
      <c r="M21" s="294"/>
      <c r="N21" s="291"/>
      <c r="O21" s="291"/>
      <c r="P21" s="291"/>
      <c r="Q21" s="358"/>
      <c r="R21" s="358"/>
      <c r="S21" s="290"/>
      <c r="T21" s="291"/>
      <c r="U21" s="291"/>
      <c r="V21" s="291"/>
      <c r="W21" s="291"/>
      <c r="X21" s="291"/>
      <c r="Y21" s="291"/>
      <c r="Z21" s="291"/>
      <c r="AA21" s="291"/>
      <c r="AB21" s="291"/>
      <c r="AC21" s="292"/>
      <c r="AD21" s="291"/>
      <c r="AE21" s="292"/>
      <c r="AF21" s="291"/>
      <c r="AG21" s="292"/>
      <c r="AH21" s="291"/>
      <c r="AI21" s="292"/>
      <c r="AJ21" s="291"/>
      <c r="AK21" s="292"/>
      <c r="AL21" s="291"/>
      <c r="AM21" s="291"/>
      <c r="AN21" s="291"/>
      <c r="AO21" s="291"/>
      <c r="AP21" s="291"/>
      <c r="AQ21" s="291"/>
      <c r="AR21" s="291"/>
      <c r="AS21" s="293"/>
      <c r="AT21" s="293"/>
    </row>
    <row r="22" spans="1:46" ht="18" customHeight="1">
      <c r="A22" s="115"/>
      <c r="B22" s="258" t="s">
        <v>96</v>
      </c>
      <c r="C22" s="257" t="s">
        <v>94</v>
      </c>
      <c r="D22" s="137"/>
      <c r="E22" s="258" t="s">
        <v>96</v>
      </c>
      <c r="F22" s="257" t="s">
        <v>94</v>
      </c>
      <c r="I22" s="358"/>
      <c r="J22" s="358"/>
      <c r="K22" s="358"/>
      <c r="L22" s="358"/>
      <c r="M22" s="294"/>
      <c r="N22" s="291"/>
      <c r="O22" s="291"/>
      <c r="P22" s="291"/>
      <c r="Q22" s="358"/>
      <c r="R22" s="358"/>
      <c r="S22" s="290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2"/>
      <c r="AF22" s="291"/>
      <c r="AG22" s="292"/>
      <c r="AH22" s="291"/>
      <c r="AI22" s="292"/>
      <c r="AJ22" s="291"/>
      <c r="AK22" s="292"/>
      <c r="AL22" s="291"/>
      <c r="AM22" s="291"/>
      <c r="AN22" s="291"/>
      <c r="AO22" s="291"/>
      <c r="AP22" s="291"/>
      <c r="AQ22" s="291"/>
      <c r="AR22" s="291"/>
      <c r="AS22" s="293"/>
      <c r="AT22" s="293"/>
    </row>
    <row r="23" spans="2:46" ht="18" customHeight="1">
      <c r="B23" s="137"/>
      <c r="C23" s="137"/>
      <c r="D23" s="137"/>
      <c r="E23" s="137"/>
      <c r="F23" s="137"/>
      <c r="I23" s="358"/>
      <c r="J23" s="358"/>
      <c r="K23" s="358"/>
      <c r="L23" s="358"/>
      <c r="M23" s="294"/>
      <c r="N23" s="291"/>
      <c r="O23" s="291"/>
      <c r="P23" s="291"/>
      <c r="Q23" s="358"/>
      <c r="R23" s="358"/>
      <c r="S23" s="290"/>
      <c r="T23" s="291"/>
      <c r="U23" s="291"/>
      <c r="V23" s="291"/>
      <c r="W23" s="291"/>
      <c r="X23" s="291"/>
      <c r="Y23" s="291"/>
      <c r="Z23" s="291"/>
      <c r="AA23" s="291"/>
      <c r="AB23" s="291"/>
      <c r="AC23" s="292"/>
      <c r="AD23" s="291"/>
      <c r="AE23" s="292"/>
      <c r="AF23" s="291"/>
      <c r="AG23" s="292"/>
      <c r="AH23" s="291"/>
      <c r="AI23" s="292"/>
      <c r="AJ23" s="291"/>
      <c r="AK23" s="292"/>
      <c r="AL23" s="291"/>
      <c r="AM23" s="291"/>
      <c r="AN23" s="291"/>
      <c r="AO23" s="291"/>
      <c r="AP23" s="291"/>
      <c r="AQ23" s="291"/>
      <c r="AR23" s="291"/>
      <c r="AS23" s="293"/>
      <c r="AT23" s="293"/>
    </row>
    <row r="24" spans="1:46" ht="12.75">
      <c r="A24" s="116">
        <v>1</v>
      </c>
      <c r="B24" s="295" t="s">
        <v>134</v>
      </c>
      <c r="C24" s="295" t="s">
        <v>193</v>
      </c>
      <c r="D24" s="137"/>
      <c r="E24" s="295" t="s">
        <v>199</v>
      </c>
      <c r="F24" s="295" t="s">
        <v>225</v>
      </c>
      <c r="G24" s="149"/>
      <c r="I24" s="358"/>
      <c r="J24" s="358"/>
      <c r="K24" s="358"/>
      <c r="L24" s="358"/>
      <c r="M24" s="294"/>
      <c r="N24" s="291"/>
      <c r="O24" s="291"/>
      <c r="P24" s="291"/>
      <c r="Q24" s="358"/>
      <c r="R24" s="358"/>
      <c r="S24" s="290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2"/>
      <c r="AH24" s="291"/>
      <c r="AI24" s="292"/>
      <c r="AJ24" s="291"/>
      <c r="AK24" s="291"/>
      <c r="AL24" s="291"/>
      <c r="AM24" s="291"/>
      <c r="AN24" s="291"/>
      <c r="AO24" s="291"/>
      <c r="AP24" s="291"/>
      <c r="AQ24" s="291"/>
      <c r="AR24" s="291"/>
      <c r="AS24" s="293"/>
      <c r="AT24" s="293"/>
    </row>
    <row r="25" spans="1:46" ht="18" customHeight="1">
      <c r="A25" s="116">
        <v>2</v>
      </c>
      <c r="B25" s="137" t="s">
        <v>216</v>
      </c>
      <c r="C25" s="137" t="s">
        <v>134</v>
      </c>
      <c r="D25" s="137"/>
      <c r="E25" s="137" t="s">
        <v>218</v>
      </c>
      <c r="F25" s="137" t="s">
        <v>292</v>
      </c>
      <c r="G25" s="149"/>
      <c r="I25" s="358"/>
      <c r="J25" s="358"/>
      <c r="K25" s="358"/>
      <c r="L25" s="358"/>
      <c r="M25" s="294"/>
      <c r="N25" s="291"/>
      <c r="O25" s="291"/>
      <c r="P25" s="291"/>
      <c r="Q25" s="358"/>
      <c r="R25" s="358"/>
      <c r="S25" s="290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2"/>
      <c r="AF25" s="291"/>
      <c r="AG25" s="292"/>
      <c r="AH25" s="291"/>
      <c r="AI25" s="292"/>
      <c r="AJ25" s="291"/>
      <c r="AK25" s="292"/>
      <c r="AL25" s="291"/>
      <c r="AM25" s="291"/>
      <c r="AN25" s="291"/>
      <c r="AO25" s="291"/>
      <c r="AP25" s="291"/>
      <c r="AQ25" s="291"/>
      <c r="AR25" s="291"/>
      <c r="AS25" s="293"/>
      <c r="AT25" s="293"/>
    </row>
    <row r="26" spans="1:46" ht="12.75">
      <c r="A26" s="116">
        <v>3</v>
      </c>
      <c r="B26" s="334"/>
      <c r="C26" s="295" t="s">
        <v>133</v>
      </c>
      <c r="D26" s="137"/>
      <c r="E26" s="295" t="s">
        <v>303</v>
      </c>
      <c r="F26" s="295" t="s">
        <v>293</v>
      </c>
      <c r="G26" s="149"/>
      <c r="I26" s="358"/>
      <c r="J26" s="358"/>
      <c r="K26" s="358"/>
      <c r="L26" s="358"/>
      <c r="M26" s="294"/>
      <c r="N26" s="291"/>
      <c r="O26" s="291"/>
      <c r="P26" s="291"/>
      <c r="Q26" s="358"/>
      <c r="R26" s="358"/>
      <c r="S26" s="290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2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3"/>
      <c r="AT26" s="293"/>
    </row>
    <row r="27" spans="1:46" ht="18" customHeight="1">
      <c r="A27" s="116">
        <v>4</v>
      </c>
      <c r="B27" s="137"/>
      <c r="C27" s="137" t="s">
        <v>197</v>
      </c>
      <c r="D27" s="137"/>
      <c r="E27" s="137" t="s">
        <v>97</v>
      </c>
      <c r="F27" s="137" t="s">
        <v>220</v>
      </c>
      <c r="G27" s="149"/>
      <c r="I27" s="358"/>
      <c r="J27" s="358"/>
      <c r="K27" s="358"/>
      <c r="L27" s="358"/>
      <c r="M27" s="294"/>
      <c r="N27" s="291"/>
      <c r="O27" s="291"/>
      <c r="P27" s="291"/>
      <c r="Q27" s="358"/>
      <c r="R27" s="358"/>
      <c r="S27" s="290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2"/>
      <c r="AL27" s="291"/>
      <c r="AM27" s="291"/>
      <c r="AN27" s="291"/>
      <c r="AO27" s="291"/>
      <c r="AP27" s="291"/>
      <c r="AQ27" s="291"/>
      <c r="AR27" s="291"/>
      <c r="AS27" s="293"/>
      <c r="AT27" s="293"/>
    </row>
    <row r="28" spans="1:46" ht="18" customHeight="1">
      <c r="A28" s="116">
        <v>5</v>
      </c>
      <c r="B28" s="137"/>
      <c r="C28" s="295" t="s">
        <v>226</v>
      </c>
      <c r="D28" s="137"/>
      <c r="E28" s="295" t="s">
        <v>301</v>
      </c>
      <c r="F28" s="295" t="s">
        <v>294</v>
      </c>
      <c r="G28" s="149"/>
      <c r="I28" s="358"/>
      <c r="J28" s="358"/>
      <c r="K28" s="358"/>
      <c r="L28" s="358"/>
      <c r="M28" s="294"/>
      <c r="N28" s="291"/>
      <c r="O28" s="291"/>
      <c r="P28" s="291"/>
      <c r="Q28" s="358"/>
      <c r="R28" s="358"/>
      <c r="S28" s="290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3"/>
      <c r="AT28" s="293"/>
    </row>
    <row r="29" spans="1:46" ht="18" customHeight="1">
      <c r="A29" s="116">
        <v>6</v>
      </c>
      <c r="B29" s="137"/>
      <c r="C29" s="137" t="s">
        <v>279</v>
      </c>
      <c r="D29" s="137"/>
      <c r="E29" s="137" t="s">
        <v>98</v>
      </c>
      <c r="F29" s="137" t="s">
        <v>179</v>
      </c>
      <c r="G29" s="149"/>
      <c r="I29" s="358"/>
      <c r="J29" s="358"/>
      <c r="K29" s="358"/>
      <c r="L29" s="358"/>
      <c r="M29" s="279"/>
      <c r="N29" s="279"/>
      <c r="O29" s="279"/>
      <c r="P29" s="279"/>
      <c r="Q29" s="358"/>
      <c r="R29" s="358"/>
      <c r="S29" s="290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2"/>
      <c r="AH29" s="291"/>
      <c r="AI29" s="292"/>
      <c r="AJ29" s="291"/>
      <c r="AK29" s="291"/>
      <c r="AL29" s="291"/>
      <c r="AM29" s="291"/>
      <c r="AN29" s="291"/>
      <c r="AO29" s="291"/>
      <c r="AP29" s="291"/>
      <c r="AQ29" s="291"/>
      <c r="AR29" s="291"/>
      <c r="AS29" s="293"/>
      <c r="AT29" s="293"/>
    </row>
    <row r="30" spans="1:46" ht="12.75">
      <c r="A30" s="116">
        <v>7</v>
      </c>
      <c r="B30" s="137"/>
      <c r="C30" s="295" t="s">
        <v>217</v>
      </c>
      <c r="D30" s="137"/>
      <c r="E30" s="295" t="s">
        <v>198</v>
      </c>
      <c r="F30" s="295" t="s">
        <v>290</v>
      </c>
      <c r="G30" s="149"/>
      <c r="H30" s="358"/>
      <c r="I30" s="358"/>
      <c r="J30" s="290"/>
      <c r="K30" s="291"/>
      <c r="L30" s="291"/>
      <c r="M30" s="291"/>
      <c r="N30" s="291"/>
      <c r="O30" s="291"/>
      <c r="P30" s="291"/>
      <c r="Q30" s="291"/>
      <c r="R30" s="291"/>
      <c r="S30" s="291"/>
      <c r="T30" s="292"/>
      <c r="U30" s="291"/>
      <c r="V30" s="292"/>
      <c r="W30" s="291"/>
      <c r="X30" s="292"/>
      <c r="Y30" s="291"/>
      <c r="Z30" s="292"/>
      <c r="AA30" s="291"/>
      <c r="AB30" s="292"/>
      <c r="AC30" s="291"/>
      <c r="AD30" s="292"/>
      <c r="AE30" s="291"/>
      <c r="AF30" s="291"/>
      <c r="AG30" s="291"/>
      <c r="AH30" s="291"/>
      <c r="AI30" s="291"/>
      <c r="AJ30" s="279"/>
      <c r="AK30" s="279"/>
      <c r="AL30" s="279"/>
      <c r="AM30" s="279"/>
      <c r="AN30" s="279"/>
      <c r="AO30" s="279"/>
      <c r="AP30" s="279"/>
      <c r="AQ30" s="279"/>
      <c r="AR30" s="279"/>
      <c r="AS30" s="293"/>
      <c r="AT30" s="293"/>
    </row>
    <row r="31" spans="1:46" ht="18" customHeight="1">
      <c r="A31" s="116">
        <v>8</v>
      </c>
      <c r="B31" s="137"/>
      <c r="C31" s="137" t="s">
        <v>229</v>
      </c>
      <c r="D31" s="137"/>
      <c r="E31" s="137" t="s">
        <v>304</v>
      </c>
      <c r="F31" s="137" t="s">
        <v>199</v>
      </c>
      <c r="G31" s="149"/>
      <c r="H31" s="358"/>
      <c r="I31" s="358"/>
      <c r="J31" s="290"/>
      <c r="K31" s="291"/>
      <c r="L31" s="291"/>
      <c r="M31" s="291"/>
      <c r="N31" s="291"/>
      <c r="O31" s="291"/>
      <c r="P31" s="291"/>
      <c r="Q31" s="291"/>
      <c r="R31" s="291"/>
      <c r="S31" s="291"/>
      <c r="T31" s="292"/>
      <c r="U31" s="291"/>
      <c r="V31" s="292"/>
      <c r="W31" s="291"/>
      <c r="X31" s="292"/>
      <c r="Y31" s="291"/>
      <c r="Z31" s="292"/>
      <c r="AA31" s="291"/>
      <c r="AB31" s="292"/>
      <c r="AC31" s="291"/>
      <c r="AD31" s="291"/>
      <c r="AE31" s="291"/>
      <c r="AF31" s="291"/>
      <c r="AG31" s="291"/>
      <c r="AH31" s="291"/>
      <c r="AI31" s="291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</row>
    <row r="32" spans="1:46" ht="18" customHeight="1">
      <c r="A32" s="116">
        <v>9</v>
      </c>
      <c r="B32" s="137"/>
      <c r="C32" s="295" t="s">
        <v>280</v>
      </c>
      <c r="D32" s="137"/>
      <c r="E32" s="295" t="s">
        <v>305</v>
      </c>
      <c r="F32" s="295" t="s">
        <v>295</v>
      </c>
      <c r="G32" s="149"/>
      <c r="H32" s="358"/>
      <c r="I32" s="358"/>
      <c r="J32" s="290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2"/>
      <c r="Y32" s="291"/>
      <c r="Z32" s="292"/>
      <c r="AA32" s="291"/>
      <c r="AB32" s="291"/>
      <c r="AC32" s="291"/>
      <c r="AD32" s="291"/>
      <c r="AE32" s="291"/>
      <c r="AF32" s="291"/>
      <c r="AG32" s="291"/>
      <c r="AH32" s="291"/>
      <c r="AI32" s="291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</row>
    <row r="33" spans="1:42" ht="12.75">
      <c r="A33" s="116">
        <v>10</v>
      </c>
      <c r="B33" s="137"/>
      <c r="C33" s="245" t="s">
        <v>281</v>
      </c>
      <c r="D33" s="137"/>
      <c r="E33" s="245" t="s">
        <v>306</v>
      </c>
      <c r="F33" s="245" t="s">
        <v>287</v>
      </c>
      <c r="G33" s="149"/>
      <c r="H33" s="358"/>
      <c r="I33" s="358"/>
      <c r="J33" s="290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2"/>
      <c r="W33" s="291"/>
      <c r="X33" s="292"/>
      <c r="Y33" s="291"/>
      <c r="Z33" s="292"/>
      <c r="AA33" s="291"/>
      <c r="AB33" s="292"/>
      <c r="AC33" s="291"/>
      <c r="AD33" s="291"/>
      <c r="AE33" s="291"/>
      <c r="AF33" s="291"/>
      <c r="AG33" s="291"/>
      <c r="AH33" s="291"/>
      <c r="AI33" s="291"/>
      <c r="AJ33" s="293"/>
      <c r="AK33" s="293"/>
      <c r="AL33" s="293"/>
      <c r="AM33" s="293"/>
      <c r="AN33" s="293"/>
      <c r="AO33" s="293"/>
      <c r="AP33" s="293"/>
    </row>
    <row r="34" spans="1:42" ht="12.75">
      <c r="A34" s="115"/>
      <c r="B34" s="246"/>
      <c r="C34" s="246"/>
      <c r="D34" s="246"/>
      <c r="E34" s="333"/>
      <c r="F34" s="333"/>
      <c r="H34" s="358"/>
      <c r="I34" s="358"/>
      <c r="J34" s="290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3"/>
      <c r="AK34" s="293"/>
      <c r="AL34" s="293"/>
      <c r="AM34" s="293"/>
      <c r="AN34" s="293"/>
      <c r="AO34" s="293"/>
      <c r="AP34" s="293"/>
    </row>
    <row r="35" spans="2:42" ht="18" customHeight="1">
      <c r="B35" s="137"/>
      <c r="C35" s="137"/>
      <c r="D35" s="137"/>
      <c r="E35" s="137"/>
      <c r="F35" s="137"/>
      <c r="H35" s="358"/>
      <c r="I35" s="358"/>
      <c r="J35" s="290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2"/>
      <c r="Y35" s="291"/>
      <c r="Z35" s="292"/>
      <c r="AA35" s="291"/>
      <c r="AB35" s="291"/>
      <c r="AC35" s="291"/>
      <c r="AD35" s="291"/>
      <c r="AE35" s="291"/>
      <c r="AF35" s="291"/>
      <c r="AG35" s="291"/>
      <c r="AH35" s="291"/>
      <c r="AI35" s="291"/>
      <c r="AJ35" s="293"/>
      <c r="AK35" s="293"/>
      <c r="AL35" s="293"/>
      <c r="AM35" s="293"/>
      <c r="AN35" s="293"/>
      <c r="AO35" s="293"/>
      <c r="AP35" s="293"/>
    </row>
    <row r="36" spans="2:42" ht="18" customHeight="1">
      <c r="B36" s="137"/>
      <c r="C36" s="137"/>
      <c r="D36" s="137"/>
      <c r="E36" s="137"/>
      <c r="F36" s="137"/>
      <c r="H36" s="358"/>
      <c r="I36" s="358"/>
      <c r="J36" s="290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2"/>
      <c r="W36" s="291"/>
      <c r="X36" s="292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3"/>
      <c r="AK36" s="293"/>
      <c r="AL36" s="293"/>
      <c r="AM36" s="293"/>
      <c r="AN36" s="293"/>
      <c r="AO36" s="293"/>
      <c r="AP36" s="293"/>
    </row>
    <row r="37" spans="1:42" ht="18" customHeight="1">
      <c r="A37" s="112"/>
      <c r="B37" s="357" t="s">
        <v>4</v>
      </c>
      <c r="C37" s="357"/>
      <c r="D37" s="357"/>
      <c r="E37" s="357"/>
      <c r="F37" s="357"/>
      <c r="H37" s="358"/>
      <c r="I37" s="358"/>
      <c r="J37" s="290"/>
      <c r="K37" s="291"/>
      <c r="L37" s="291"/>
      <c r="M37" s="291"/>
      <c r="N37" s="292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3"/>
      <c r="AK37" s="293"/>
      <c r="AL37" s="293"/>
      <c r="AM37" s="293"/>
      <c r="AN37" s="293"/>
      <c r="AO37" s="293"/>
      <c r="AP37" s="293"/>
    </row>
    <row r="38" spans="1:42" ht="18" customHeight="1">
      <c r="A38" s="114"/>
      <c r="B38" s="356" t="s">
        <v>93</v>
      </c>
      <c r="C38" s="356"/>
      <c r="D38" s="137"/>
      <c r="E38" s="356" t="s">
        <v>95</v>
      </c>
      <c r="F38" s="356"/>
      <c r="H38" s="358"/>
      <c r="I38" s="358"/>
      <c r="J38" s="290"/>
      <c r="K38" s="291"/>
      <c r="L38" s="292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3"/>
      <c r="AK38" s="293"/>
      <c r="AL38" s="293"/>
      <c r="AM38" s="293"/>
      <c r="AN38" s="293"/>
      <c r="AO38" s="293"/>
      <c r="AP38" s="293"/>
    </row>
    <row r="39" spans="1:42" ht="12.75">
      <c r="A39" s="115"/>
      <c r="B39" s="258" t="s">
        <v>96</v>
      </c>
      <c r="C39" s="257" t="s">
        <v>94</v>
      </c>
      <c r="D39" s="137"/>
      <c r="E39" s="258" t="s">
        <v>96</v>
      </c>
      <c r="F39" s="257" t="s">
        <v>94</v>
      </c>
      <c r="H39" s="358"/>
      <c r="I39" s="358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93"/>
      <c r="AK39" s="293"/>
      <c r="AL39" s="293"/>
      <c r="AM39" s="293"/>
      <c r="AN39" s="293"/>
      <c r="AO39" s="293"/>
      <c r="AP39" s="293"/>
    </row>
    <row r="40" spans="2:42" ht="12.75">
      <c r="B40" s="137"/>
      <c r="C40" s="137"/>
      <c r="D40" s="137"/>
      <c r="E40" s="137"/>
      <c r="F40" s="137"/>
      <c r="H40" s="293"/>
      <c r="I40" s="358"/>
      <c r="J40" s="358"/>
      <c r="K40" s="290"/>
      <c r="L40" s="291"/>
      <c r="M40" s="292"/>
      <c r="N40" s="291"/>
      <c r="O40" s="292"/>
      <c r="P40" s="291"/>
      <c r="Q40" s="292"/>
      <c r="R40" s="291"/>
      <c r="S40" s="292"/>
      <c r="T40" s="291"/>
      <c r="U40" s="292"/>
      <c r="V40" s="291"/>
      <c r="W40" s="292"/>
      <c r="X40" s="291"/>
      <c r="Y40" s="292"/>
      <c r="Z40" s="291"/>
      <c r="AA40" s="292"/>
      <c r="AB40" s="291"/>
      <c r="AC40" s="292"/>
      <c r="AD40" s="291"/>
      <c r="AE40" s="292"/>
      <c r="AF40" s="291"/>
      <c r="AG40" s="292"/>
      <c r="AH40" s="291"/>
      <c r="AI40" s="292"/>
      <c r="AJ40" s="291"/>
      <c r="AK40" s="293"/>
      <c r="AL40" s="293"/>
      <c r="AM40" s="293"/>
      <c r="AN40" s="293"/>
      <c r="AO40" s="293"/>
      <c r="AP40" s="293"/>
    </row>
    <row r="41" spans="1:42" ht="12.75">
      <c r="A41" s="116">
        <v>1</v>
      </c>
      <c r="B41" s="295" t="s">
        <v>199</v>
      </c>
      <c r="C41" s="295" t="s">
        <v>193</v>
      </c>
      <c r="D41" s="137"/>
      <c r="E41" s="295" t="s">
        <v>291</v>
      </c>
      <c r="F41" s="295" t="s">
        <v>219</v>
      </c>
      <c r="H41" s="293"/>
      <c r="I41" s="358"/>
      <c r="J41" s="358"/>
      <c r="K41" s="290"/>
      <c r="L41" s="291"/>
      <c r="M41" s="291"/>
      <c r="N41" s="291"/>
      <c r="O41" s="291"/>
      <c r="P41" s="291"/>
      <c r="Q41" s="291"/>
      <c r="R41" s="291"/>
      <c r="S41" s="292"/>
      <c r="T41" s="291"/>
      <c r="U41" s="292"/>
      <c r="V41" s="291"/>
      <c r="W41" s="292"/>
      <c r="X41" s="291"/>
      <c r="Y41" s="292"/>
      <c r="Z41" s="291"/>
      <c r="AA41" s="292"/>
      <c r="AB41" s="291"/>
      <c r="AC41" s="292"/>
      <c r="AD41" s="291"/>
      <c r="AE41" s="292"/>
      <c r="AF41" s="291"/>
      <c r="AG41" s="291"/>
      <c r="AH41" s="291"/>
      <c r="AI41" s="291"/>
      <c r="AJ41" s="291"/>
      <c r="AK41" s="293"/>
      <c r="AL41" s="293"/>
      <c r="AM41" s="293"/>
      <c r="AN41" s="293"/>
      <c r="AO41" s="293"/>
      <c r="AP41" s="293"/>
    </row>
    <row r="42" spans="1:42" ht="18" customHeight="1">
      <c r="A42" s="116">
        <v>2</v>
      </c>
      <c r="B42" s="137" t="s">
        <v>97</v>
      </c>
      <c r="C42" s="137" t="s">
        <v>134</v>
      </c>
      <c r="D42" s="137"/>
      <c r="E42" s="137" t="s">
        <v>200</v>
      </c>
      <c r="F42" s="137" t="s">
        <v>283</v>
      </c>
      <c r="H42" s="293"/>
      <c r="I42" s="358"/>
      <c r="J42" s="358"/>
      <c r="K42" s="290"/>
      <c r="L42" s="291"/>
      <c r="M42" s="291"/>
      <c r="N42" s="291"/>
      <c r="O42" s="291"/>
      <c r="P42" s="291"/>
      <c r="Q42" s="291"/>
      <c r="R42" s="291"/>
      <c r="S42" s="291"/>
      <c r="T42" s="291"/>
      <c r="U42" s="292"/>
      <c r="V42" s="291"/>
      <c r="W42" s="292"/>
      <c r="X42" s="291"/>
      <c r="Y42" s="292"/>
      <c r="Z42" s="291"/>
      <c r="AA42" s="292"/>
      <c r="AB42" s="291"/>
      <c r="AC42" s="292"/>
      <c r="AD42" s="291"/>
      <c r="AE42" s="292"/>
      <c r="AF42" s="291"/>
      <c r="AG42" s="291"/>
      <c r="AH42" s="291"/>
      <c r="AI42" s="291"/>
      <c r="AJ42" s="291"/>
      <c r="AK42" s="293"/>
      <c r="AL42" s="293"/>
      <c r="AM42" s="293"/>
      <c r="AN42" s="293"/>
      <c r="AO42" s="293"/>
      <c r="AP42" s="293"/>
    </row>
    <row r="43" spans="1:37" ht="12.75">
      <c r="A43" s="116">
        <v>3</v>
      </c>
      <c r="B43" s="295" t="s">
        <v>221</v>
      </c>
      <c r="C43" s="295" t="s">
        <v>181</v>
      </c>
      <c r="D43" s="137"/>
      <c r="E43" s="295" t="s">
        <v>307</v>
      </c>
      <c r="F43" s="295" t="s">
        <v>285</v>
      </c>
      <c r="I43" s="358"/>
      <c r="J43" s="358"/>
      <c r="K43" s="290"/>
      <c r="L43" s="291"/>
      <c r="M43" s="291"/>
      <c r="N43" s="291"/>
      <c r="O43" s="291"/>
      <c r="P43" s="291"/>
      <c r="Q43" s="291"/>
      <c r="R43" s="291"/>
      <c r="S43" s="292"/>
      <c r="T43" s="291"/>
      <c r="U43" s="292"/>
      <c r="V43" s="291"/>
      <c r="W43" s="292"/>
      <c r="X43" s="291"/>
      <c r="Y43" s="292"/>
      <c r="Z43" s="291"/>
      <c r="AA43" s="292"/>
      <c r="AB43" s="291"/>
      <c r="AC43" s="292"/>
      <c r="AD43" s="291"/>
      <c r="AE43" s="292"/>
      <c r="AF43" s="291"/>
      <c r="AG43" s="291"/>
      <c r="AH43" s="291"/>
      <c r="AI43" s="291"/>
      <c r="AJ43" s="291"/>
      <c r="AK43" s="293"/>
    </row>
    <row r="44" spans="1:37" ht="12.75">
      <c r="A44" s="116">
        <v>4</v>
      </c>
      <c r="B44" s="137" t="s">
        <v>193</v>
      </c>
      <c r="C44" s="137" t="s">
        <v>133</v>
      </c>
      <c r="D44" s="137"/>
      <c r="E44" s="137" t="s">
        <v>308</v>
      </c>
      <c r="F44" s="137" t="s">
        <v>286</v>
      </c>
      <c r="I44" s="358"/>
      <c r="J44" s="358"/>
      <c r="K44" s="290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2"/>
      <c r="X44" s="291"/>
      <c r="Y44" s="292"/>
      <c r="Z44" s="291"/>
      <c r="AA44" s="292"/>
      <c r="AB44" s="291"/>
      <c r="AC44" s="292"/>
      <c r="AD44" s="291"/>
      <c r="AE44" s="292"/>
      <c r="AF44" s="291"/>
      <c r="AG44" s="291"/>
      <c r="AH44" s="291"/>
      <c r="AI44" s="291"/>
      <c r="AJ44" s="291"/>
      <c r="AK44" s="293"/>
    </row>
    <row r="45" spans="1:37" ht="18" customHeight="1">
      <c r="A45" s="116">
        <v>5</v>
      </c>
      <c r="B45" s="295" t="s">
        <v>278</v>
      </c>
      <c r="C45" s="295" t="s">
        <v>282</v>
      </c>
      <c r="D45" s="137"/>
      <c r="E45" s="295" t="s">
        <v>222</v>
      </c>
      <c r="F45" s="295" t="s">
        <v>287</v>
      </c>
      <c r="I45" s="358"/>
      <c r="J45" s="358"/>
      <c r="K45" s="290"/>
      <c r="L45" s="291"/>
      <c r="M45" s="291"/>
      <c r="N45" s="291"/>
      <c r="O45" s="291"/>
      <c r="P45" s="291"/>
      <c r="Q45" s="291"/>
      <c r="R45" s="291"/>
      <c r="S45" s="291"/>
      <c r="T45" s="291"/>
      <c r="U45" s="292"/>
      <c r="V45" s="291"/>
      <c r="W45" s="292"/>
      <c r="X45" s="291"/>
      <c r="Y45" s="292"/>
      <c r="Z45" s="291"/>
      <c r="AA45" s="292"/>
      <c r="AB45" s="291"/>
      <c r="AC45" s="292"/>
      <c r="AD45" s="291"/>
      <c r="AE45" s="291"/>
      <c r="AF45" s="291"/>
      <c r="AG45" s="291"/>
      <c r="AH45" s="291"/>
      <c r="AI45" s="291"/>
      <c r="AJ45" s="291"/>
      <c r="AK45" s="293"/>
    </row>
    <row r="46" spans="1:37" ht="12.75">
      <c r="A46" s="116">
        <v>6</v>
      </c>
      <c r="B46" s="137"/>
      <c r="C46" s="137" t="s">
        <v>283</v>
      </c>
      <c r="D46" s="137"/>
      <c r="E46" s="137" t="s">
        <v>223</v>
      </c>
      <c r="F46" s="137" t="s">
        <v>288</v>
      </c>
      <c r="I46" s="358"/>
      <c r="J46" s="358"/>
      <c r="K46" s="290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2"/>
      <c r="Z46" s="291"/>
      <c r="AA46" s="292"/>
      <c r="AB46" s="291"/>
      <c r="AC46" s="292"/>
      <c r="AD46" s="291"/>
      <c r="AE46" s="291"/>
      <c r="AF46" s="291"/>
      <c r="AG46" s="291"/>
      <c r="AH46" s="291"/>
      <c r="AI46" s="291"/>
      <c r="AJ46" s="291"/>
      <c r="AK46" s="293"/>
    </row>
    <row r="47" spans="1:37" ht="18" customHeight="1">
      <c r="A47" s="116">
        <v>7</v>
      </c>
      <c r="B47" s="137"/>
      <c r="C47" s="295" t="s">
        <v>228</v>
      </c>
      <c r="D47" s="137"/>
      <c r="E47" s="295" t="s">
        <v>224</v>
      </c>
      <c r="F47" s="295" t="s">
        <v>289</v>
      </c>
      <c r="I47" s="358"/>
      <c r="J47" s="358"/>
      <c r="K47" s="290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2"/>
      <c r="X47" s="291"/>
      <c r="Y47" s="292"/>
      <c r="Z47" s="291"/>
      <c r="AA47" s="292"/>
      <c r="AB47" s="291"/>
      <c r="AC47" s="292"/>
      <c r="AD47" s="291"/>
      <c r="AE47" s="291"/>
      <c r="AF47" s="291"/>
      <c r="AG47" s="291"/>
      <c r="AH47" s="291"/>
      <c r="AI47" s="291"/>
      <c r="AJ47" s="291"/>
      <c r="AK47" s="293"/>
    </row>
    <row r="48" spans="1:37" ht="12.75">
      <c r="A48" s="116">
        <v>8</v>
      </c>
      <c r="B48" s="137"/>
      <c r="C48" s="137" t="s">
        <v>229</v>
      </c>
      <c r="D48" s="137"/>
      <c r="E48" s="137" t="s">
        <v>309</v>
      </c>
      <c r="F48" s="137" t="s">
        <v>226</v>
      </c>
      <c r="I48" s="358"/>
      <c r="J48" s="358"/>
      <c r="K48" s="290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2"/>
      <c r="X48" s="291"/>
      <c r="Y48" s="292"/>
      <c r="Z48" s="291"/>
      <c r="AA48" s="292"/>
      <c r="AB48" s="291"/>
      <c r="AC48" s="292"/>
      <c r="AD48" s="291"/>
      <c r="AE48" s="291"/>
      <c r="AF48" s="291"/>
      <c r="AG48" s="291"/>
      <c r="AH48" s="291"/>
      <c r="AI48" s="291"/>
      <c r="AJ48" s="291"/>
      <c r="AK48" s="293"/>
    </row>
    <row r="49" spans="1:37" ht="12.75">
      <c r="A49" s="116">
        <v>9</v>
      </c>
      <c r="B49" s="137"/>
      <c r="C49" s="295" t="s">
        <v>284</v>
      </c>
      <c r="D49" s="137"/>
      <c r="E49" s="295" t="s">
        <v>310</v>
      </c>
      <c r="F49" s="295" t="s">
        <v>290</v>
      </c>
      <c r="I49" s="358"/>
      <c r="J49" s="358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93"/>
    </row>
    <row r="50" spans="1:37" ht="12">
      <c r="A50" s="116">
        <v>10</v>
      </c>
      <c r="B50" s="137"/>
      <c r="C50" s="245" t="s">
        <v>217</v>
      </c>
      <c r="D50" s="137"/>
      <c r="E50" s="245" t="s">
        <v>311</v>
      </c>
      <c r="F50" s="245" t="s">
        <v>291</v>
      </c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</row>
    <row r="51" spans="1:6" ht="12">
      <c r="A51" s="115"/>
      <c r="B51" s="115"/>
      <c r="C51" s="115"/>
      <c r="D51" s="153"/>
      <c r="E51" s="115"/>
      <c r="F51" s="153"/>
    </row>
    <row r="52" s="162" customFormat="1" ht="12">
      <c r="A52" s="162" t="s">
        <v>77</v>
      </c>
    </row>
  </sheetData>
  <sheetProtection/>
  <mergeCells count="79">
    <mergeCell ref="H32:I32"/>
    <mergeCell ref="H33:I33"/>
    <mergeCell ref="H34:I34"/>
    <mergeCell ref="H35:I35"/>
    <mergeCell ref="H36:I36"/>
    <mergeCell ref="I47:J47"/>
    <mergeCell ref="I48:J48"/>
    <mergeCell ref="I49:J49"/>
    <mergeCell ref="I41:J41"/>
    <mergeCell ref="I42:J42"/>
    <mergeCell ref="I43:J43"/>
    <mergeCell ref="I44:J44"/>
    <mergeCell ref="I45:J45"/>
    <mergeCell ref="I46:J46"/>
    <mergeCell ref="Q26:R26"/>
    <mergeCell ref="Q27:R27"/>
    <mergeCell ref="Q28:R28"/>
    <mergeCell ref="Q29:R29"/>
    <mergeCell ref="I40:J40"/>
    <mergeCell ref="H30:I30"/>
    <mergeCell ref="H37:I37"/>
    <mergeCell ref="H38:I38"/>
    <mergeCell ref="H39:I39"/>
    <mergeCell ref="H31:I31"/>
    <mergeCell ref="K25:L25"/>
    <mergeCell ref="K26:L26"/>
    <mergeCell ref="K27:L27"/>
    <mergeCell ref="K28:L28"/>
    <mergeCell ref="K29:L29"/>
    <mergeCell ref="Q21:R21"/>
    <mergeCell ref="Q22:R22"/>
    <mergeCell ref="Q23:R23"/>
    <mergeCell ref="Q24:R24"/>
    <mergeCell ref="Q25:R25"/>
    <mergeCell ref="I25:J25"/>
    <mergeCell ref="I26:J26"/>
    <mergeCell ref="I27:J27"/>
    <mergeCell ref="I28:J28"/>
    <mergeCell ref="I29:J29"/>
    <mergeCell ref="K20:L20"/>
    <mergeCell ref="K21:L21"/>
    <mergeCell ref="K22:L22"/>
    <mergeCell ref="K23:L23"/>
    <mergeCell ref="K24:L24"/>
    <mergeCell ref="I15:J15"/>
    <mergeCell ref="I16:J16"/>
    <mergeCell ref="I21:J21"/>
    <mergeCell ref="I22:J22"/>
    <mergeCell ref="I23:J23"/>
    <mergeCell ref="I24:J24"/>
    <mergeCell ref="K10:L10"/>
    <mergeCell ref="K11:L11"/>
    <mergeCell ref="K12:L12"/>
    <mergeCell ref="K13:L13"/>
    <mergeCell ref="I7:J7"/>
    <mergeCell ref="I8:J8"/>
    <mergeCell ref="I9:J9"/>
    <mergeCell ref="I10:J10"/>
    <mergeCell ref="I11:J11"/>
    <mergeCell ref="I12:J12"/>
    <mergeCell ref="J5:K5"/>
    <mergeCell ref="J6:K6"/>
    <mergeCell ref="K14:L14"/>
    <mergeCell ref="K15:L15"/>
    <mergeCell ref="K16:L16"/>
    <mergeCell ref="K17:L17"/>
    <mergeCell ref="I13:J13"/>
    <mergeCell ref="I14:J14"/>
    <mergeCell ref="K8:L8"/>
    <mergeCell ref="K9:L9"/>
    <mergeCell ref="B38:C38"/>
    <mergeCell ref="E38:F38"/>
    <mergeCell ref="B37:F37"/>
    <mergeCell ref="B3:F3"/>
    <mergeCell ref="B4:C4"/>
    <mergeCell ref="E4:F4"/>
    <mergeCell ref="B20:F20"/>
    <mergeCell ref="B21:C21"/>
    <mergeCell ref="E21:F21"/>
  </mergeCells>
  <printOptions/>
  <pageMargins left="0.2" right="0.75" top="0.52" bottom="1" header="0" footer="0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96"/>
  <sheetViews>
    <sheetView zoomScalePageLayoutView="0" workbookViewId="0" topLeftCell="A16">
      <selection activeCell="K45" sqref="K45"/>
    </sheetView>
  </sheetViews>
  <sheetFormatPr defaultColWidth="12.8515625" defaultRowHeight="12.75"/>
  <cols>
    <col min="1" max="1" width="24.421875" style="96" customWidth="1"/>
    <col min="2" max="2" width="14.7109375" style="120" customWidth="1"/>
    <col min="3" max="3" width="1.7109375" style="95" customWidth="1"/>
    <col min="4" max="4" width="27.8515625" style="95" customWidth="1"/>
    <col min="5" max="5" width="14.421875" style="95" customWidth="1"/>
    <col min="6" max="6" width="2.7109375" style="95" customWidth="1"/>
    <col min="7" max="7" width="26.7109375" style="95" customWidth="1"/>
    <col min="8" max="8" width="13.8515625" style="95" customWidth="1"/>
    <col min="9" max="16384" width="12.8515625" style="95" customWidth="1"/>
  </cols>
  <sheetData>
    <row r="2" ht="15">
      <c r="A2" s="94" t="s">
        <v>314</v>
      </c>
    </row>
    <row r="4" spans="1:8" ht="12.75">
      <c r="A4" s="357" t="s">
        <v>2</v>
      </c>
      <c r="B4" s="357"/>
      <c r="C4" s="113"/>
      <c r="D4" s="357" t="s">
        <v>3</v>
      </c>
      <c r="E4" s="357"/>
      <c r="F4" s="121"/>
      <c r="G4" s="359" t="s">
        <v>4</v>
      </c>
      <c r="H4" s="359"/>
    </row>
    <row r="5" spans="1:8" ht="12.75">
      <c r="A5" s="122"/>
      <c r="B5" s="122"/>
      <c r="C5" s="122"/>
      <c r="D5" s="122"/>
      <c r="E5" s="123"/>
      <c r="F5" s="123"/>
      <c r="G5" s="108"/>
      <c r="H5" s="123"/>
    </row>
    <row r="6" spans="1:8" ht="12.75">
      <c r="A6" s="224" t="s">
        <v>100</v>
      </c>
      <c r="B6" s="224" t="s">
        <v>101</v>
      </c>
      <c r="C6" s="113"/>
      <c r="D6" s="224" t="s">
        <v>100</v>
      </c>
      <c r="E6" s="224" t="s">
        <v>101</v>
      </c>
      <c r="F6" s="121"/>
      <c r="G6" s="224" t="s">
        <v>100</v>
      </c>
      <c r="H6" s="224" t="s">
        <v>101</v>
      </c>
    </row>
    <row r="7" spans="3:25" ht="12.75">
      <c r="C7" s="124"/>
      <c r="D7" s="125"/>
      <c r="E7" s="125"/>
      <c r="F7" s="124"/>
      <c r="G7" s="125"/>
      <c r="H7" s="125"/>
      <c r="I7" s="124"/>
      <c r="J7" s="125"/>
      <c r="K7" s="124"/>
      <c r="L7" s="125"/>
      <c r="M7" s="124"/>
      <c r="N7" s="125"/>
      <c r="O7" s="124"/>
      <c r="P7" s="125"/>
      <c r="Q7" s="124"/>
      <c r="R7" s="125"/>
      <c r="S7" s="124"/>
      <c r="T7" s="125"/>
      <c r="U7" s="124"/>
      <c r="V7" s="125"/>
      <c r="W7" s="124"/>
      <c r="X7" s="125"/>
      <c r="Y7" s="124"/>
    </row>
    <row r="8" spans="1:25" ht="12.75" customHeight="1">
      <c r="A8" s="296" t="s">
        <v>315</v>
      </c>
      <c r="B8" s="297">
        <v>19213308</v>
      </c>
      <c r="C8" s="249"/>
      <c r="D8" s="296" t="s">
        <v>316</v>
      </c>
      <c r="E8" s="297">
        <v>1442281</v>
      </c>
      <c r="F8" s="335"/>
      <c r="G8" s="296" t="s">
        <v>316</v>
      </c>
      <c r="H8" s="297">
        <v>372787</v>
      </c>
      <c r="I8" s="124"/>
      <c r="J8" s="128"/>
      <c r="K8" s="124"/>
      <c r="L8" s="128"/>
      <c r="M8" s="124"/>
      <c r="N8" s="128"/>
      <c r="O8" s="124"/>
      <c r="P8" s="128"/>
      <c r="Q8" s="124"/>
      <c r="R8" s="128"/>
      <c r="S8" s="124"/>
      <c r="T8" s="128"/>
      <c r="U8" s="124"/>
      <c r="V8" s="128"/>
      <c r="W8" s="124"/>
      <c r="X8" s="128"/>
      <c r="Y8" s="124"/>
    </row>
    <row r="9" spans="1:25" ht="12.75" customHeight="1">
      <c r="A9" s="117" t="s">
        <v>316</v>
      </c>
      <c r="B9" s="248">
        <v>7470536</v>
      </c>
      <c r="C9" s="249"/>
      <c r="D9" s="117" t="s">
        <v>338</v>
      </c>
      <c r="E9" s="248">
        <v>162036</v>
      </c>
      <c r="F9" s="335"/>
      <c r="G9" s="117" t="s">
        <v>338</v>
      </c>
      <c r="H9" s="248">
        <v>227309</v>
      </c>
      <c r="I9" s="124"/>
      <c r="J9" s="128"/>
      <c r="K9" s="124"/>
      <c r="L9" s="128"/>
      <c r="M9" s="124"/>
      <c r="N9" s="128"/>
      <c r="O9" s="124"/>
      <c r="P9" s="128"/>
      <c r="Q9" s="124"/>
      <c r="R9" s="128"/>
      <c r="S9" s="124"/>
      <c r="T9" s="128"/>
      <c r="U9" s="124"/>
      <c r="V9" s="128"/>
      <c r="W9" s="124"/>
      <c r="X9" s="128"/>
      <c r="Y9" s="124"/>
    </row>
    <row r="10" spans="1:25" ht="12.75" customHeight="1">
      <c r="A10" s="296" t="s">
        <v>317</v>
      </c>
      <c r="B10" s="297">
        <v>3221953</v>
      </c>
      <c r="C10" s="249"/>
      <c r="D10" s="296" t="s">
        <v>327</v>
      </c>
      <c r="E10" s="297">
        <v>122880</v>
      </c>
      <c r="F10" s="335"/>
      <c r="G10" s="296" t="s">
        <v>340</v>
      </c>
      <c r="H10" s="297">
        <v>169493</v>
      </c>
      <c r="I10" s="124"/>
      <c r="J10" s="128"/>
      <c r="K10" s="124"/>
      <c r="L10" s="128"/>
      <c r="M10" s="124"/>
      <c r="N10" s="128"/>
      <c r="O10" s="124"/>
      <c r="P10" s="128"/>
      <c r="Q10" s="124"/>
      <c r="R10" s="128"/>
      <c r="S10" s="124"/>
      <c r="T10" s="128"/>
      <c r="U10" s="124"/>
      <c r="V10" s="128"/>
      <c r="W10" s="124"/>
      <c r="X10" s="128"/>
      <c r="Y10" s="124"/>
    </row>
    <row r="11" spans="1:25" ht="12.75" customHeight="1">
      <c r="A11" s="117" t="s">
        <v>318</v>
      </c>
      <c r="B11" s="248">
        <v>1564860</v>
      </c>
      <c r="C11" s="249"/>
      <c r="D11" s="117" t="s">
        <v>339</v>
      </c>
      <c r="E11" s="248">
        <v>87449</v>
      </c>
      <c r="F11" s="335"/>
      <c r="G11" s="117" t="s">
        <v>341</v>
      </c>
      <c r="H11" s="248">
        <v>113655</v>
      </c>
      <c r="I11" s="124"/>
      <c r="J11" s="128"/>
      <c r="K11" s="124"/>
      <c r="L11" s="128"/>
      <c r="M11" s="124"/>
      <c r="N11" s="128"/>
      <c r="O11" s="124"/>
      <c r="P11" s="128"/>
      <c r="Q11" s="124"/>
      <c r="R11" s="128"/>
      <c r="S11" s="124"/>
      <c r="T11" s="128"/>
      <c r="U11" s="124"/>
      <c r="V11" s="128"/>
      <c r="W11" s="124"/>
      <c r="X11" s="128"/>
      <c r="Y11" s="124"/>
    </row>
    <row r="12" spans="1:25" ht="12.75" customHeight="1">
      <c r="A12" s="296" t="s">
        <v>319</v>
      </c>
      <c r="B12" s="297">
        <v>1472011</v>
      </c>
      <c r="C12" s="249"/>
      <c r="D12" s="296" t="s">
        <v>340</v>
      </c>
      <c r="E12" s="297">
        <v>50597</v>
      </c>
      <c r="F12" s="335"/>
      <c r="G12" s="296" t="s">
        <v>358</v>
      </c>
      <c r="H12" s="297">
        <v>29613</v>
      </c>
      <c r="I12" s="124"/>
      <c r="J12" s="128"/>
      <c r="K12" s="124"/>
      <c r="L12" s="128"/>
      <c r="M12" s="124"/>
      <c r="N12" s="128"/>
      <c r="O12" s="124"/>
      <c r="P12" s="128"/>
      <c r="Q12" s="124"/>
      <c r="R12" s="128"/>
      <c r="S12" s="124"/>
      <c r="T12" s="128"/>
      <c r="U12" s="124"/>
      <c r="V12" s="128"/>
      <c r="W12" s="124"/>
      <c r="X12" s="128"/>
      <c r="Y12" s="124"/>
    </row>
    <row r="13" spans="1:25" ht="12.75" customHeight="1">
      <c r="A13" s="117" t="s">
        <v>320</v>
      </c>
      <c r="B13" s="248">
        <v>1192871</v>
      </c>
      <c r="C13" s="249"/>
      <c r="D13" s="117" t="s">
        <v>341</v>
      </c>
      <c r="E13" s="248">
        <v>25419</v>
      </c>
      <c r="F13" s="335"/>
      <c r="G13" s="117" t="s">
        <v>327</v>
      </c>
      <c r="H13" s="248">
        <v>17747</v>
      </c>
      <c r="I13" s="124"/>
      <c r="J13" s="128"/>
      <c r="K13" s="124"/>
      <c r="L13" s="128"/>
      <c r="M13" s="124"/>
      <c r="N13" s="128"/>
      <c r="O13" s="124"/>
      <c r="P13" s="128"/>
      <c r="Q13" s="124"/>
      <c r="R13" s="128"/>
      <c r="S13" s="124"/>
      <c r="T13" s="128"/>
      <c r="U13" s="124"/>
      <c r="V13" s="128"/>
      <c r="W13" s="124"/>
      <c r="X13" s="128"/>
      <c r="Y13" s="124"/>
    </row>
    <row r="14" spans="1:25" ht="12.75" customHeight="1">
      <c r="A14" s="296" t="s">
        <v>191</v>
      </c>
      <c r="B14" s="297">
        <v>1072817</v>
      </c>
      <c r="C14" s="249"/>
      <c r="D14" s="296" t="s">
        <v>342</v>
      </c>
      <c r="E14" s="297">
        <v>25058</v>
      </c>
      <c r="F14" s="335"/>
      <c r="G14" s="296" t="s">
        <v>317</v>
      </c>
      <c r="H14" s="297">
        <v>16499</v>
      </c>
      <c r="I14" s="124"/>
      <c r="J14" s="128"/>
      <c r="K14" s="124"/>
      <c r="L14" s="128"/>
      <c r="M14" s="124"/>
      <c r="N14" s="124"/>
      <c r="O14" s="124"/>
      <c r="P14" s="128"/>
      <c r="Q14" s="124"/>
      <c r="R14" s="128"/>
      <c r="S14" s="124"/>
      <c r="T14" s="128"/>
      <c r="U14" s="124"/>
      <c r="V14" s="128"/>
      <c r="W14" s="124"/>
      <c r="X14" s="128"/>
      <c r="Y14" s="124"/>
    </row>
    <row r="15" spans="1:25" ht="12.75" customHeight="1">
      <c r="A15" s="117" t="s">
        <v>321</v>
      </c>
      <c r="B15" s="248">
        <v>916825</v>
      </c>
      <c r="C15" s="249"/>
      <c r="D15" s="117" t="s">
        <v>343</v>
      </c>
      <c r="E15" s="248">
        <v>22050</v>
      </c>
      <c r="F15" s="335"/>
      <c r="G15" s="117" t="s">
        <v>339</v>
      </c>
      <c r="H15" s="248">
        <v>12835</v>
      </c>
      <c r="I15" s="124"/>
      <c r="J15" s="124"/>
      <c r="K15" s="124"/>
      <c r="L15" s="124"/>
      <c r="M15" s="124"/>
      <c r="N15" s="128"/>
      <c r="O15" s="124"/>
      <c r="P15" s="124"/>
      <c r="Q15" s="124"/>
      <c r="R15" s="128"/>
      <c r="S15" s="124"/>
      <c r="T15" s="128"/>
      <c r="U15" s="124"/>
      <c r="V15" s="128"/>
      <c r="W15" s="124"/>
      <c r="X15" s="128"/>
      <c r="Y15" s="124"/>
    </row>
    <row r="16" spans="1:25" ht="12.75" customHeight="1">
      <c r="A16" s="296" t="s">
        <v>322</v>
      </c>
      <c r="B16" s="297">
        <v>837428</v>
      </c>
      <c r="C16" s="249"/>
      <c r="D16" s="296" t="s">
        <v>344</v>
      </c>
      <c r="E16" s="297">
        <v>16620</v>
      </c>
      <c r="F16" s="335"/>
      <c r="G16" s="296" t="s">
        <v>359</v>
      </c>
      <c r="H16" s="297">
        <v>12383</v>
      </c>
      <c r="I16" s="124"/>
      <c r="J16" s="128"/>
      <c r="K16" s="124"/>
      <c r="L16" s="128"/>
      <c r="M16" s="124"/>
      <c r="N16" s="128"/>
      <c r="O16" s="124"/>
      <c r="P16" s="128"/>
      <c r="Q16" s="124"/>
      <c r="R16" s="128"/>
      <c r="S16" s="124"/>
      <c r="T16" s="128"/>
      <c r="U16" s="124"/>
      <c r="V16" s="128"/>
      <c r="W16" s="124"/>
      <c r="X16" s="128"/>
      <c r="Y16" s="124"/>
    </row>
    <row r="17" spans="1:25" ht="12.75" customHeight="1">
      <c r="A17" s="117" t="s">
        <v>323</v>
      </c>
      <c r="B17" s="248">
        <v>741724</v>
      </c>
      <c r="C17" s="249"/>
      <c r="D17" s="117" t="s">
        <v>345</v>
      </c>
      <c r="E17" s="248">
        <v>12896</v>
      </c>
      <c r="F17" s="335"/>
      <c r="G17" s="117" t="s">
        <v>346</v>
      </c>
      <c r="H17" s="248">
        <v>9442</v>
      </c>
      <c r="I17" s="124"/>
      <c r="J17" s="128"/>
      <c r="K17" s="124"/>
      <c r="L17" s="128"/>
      <c r="M17" s="124"/>
      <c r="N17" s="128"/>
      <c r="O17" s="124"/>
      <c r="P17" s="128"/>
      <c r="Q17" s="124"/>
      <c r="R17" s="128"/>
      <c r="S17" s="124"/>
      <c r="T17" s="128"/>
      <c r="U17" s="124"/>
      <c r="V17" s="128"/>
      <c r="W17" s="124"/>
      <c r="X17" s="128"/>
      <c r="Y17" s="124"/>
    </row>
    <row r="18" spans="1:25" ht="12.75" customHeight="1">
      <c r="A18" s="296" t="s">
        <v>324</v>
      </c>
      <c r="B18" s="297">
        <v>697730</v>
      </c>
      <c r="C18" s="249"/>
      <c r="D18" s="296" t="s">
        <v>346</v>
      </c>
      <c r="E18" s="297">
        <v>12081</v>
      </c>
      <c r="F18" s="335"/>
      <c r="G18" s="296" t="s">
        <v>331</v>
      </c>
      <c r="H18" s="297">
        <v>8560</v>
      </c>
      <c r="I18" s="124"/>
      <c r="J18" s="128"/>
      <c r="K18" s="124"/>
      <c r="L18" s="128"/>
      <c r="M18" s="124"/>
      <c r="N18" s="128"/>
      <c r="O18" s="124"/>
      <c r="P18" s="128"/>
      <c r="Q18" s="124"/>
      <c r="R18" s="128"/>
      <c r="S18" s="124"/>
      <c r="T18" s="128"/>
      <c r="U18" s="124"/>
      <c r="V18" s="128"/>
      <c r="W18" s="124"/>
      <c r="X18" s="128"/>
      <c r="Y18" s="124"/>
    </row>
    <row r="19" spans="1:25" ht="12.75" customHeight="1">
      <c r="A19" s="117" t="s">
        <v>325</v>
      </c>
      <c r="B19" s="248">
        <v>664666</v>
      </c>
      <c r="C19" s="249"/>
      <c r="D19" s="117" t="s">
        <v>347</v>
      </c>
      <c r="E19" s="248">
        <v>10211</v>
      </c>
      <c r="F19" s="335"/>
      <c r="G19" s="117" t="s">
        <v>360</v>
      </c>
      <c r="H19" s="248">
        <v>7961</v>
      </c>
      <c r="I19" s="124"/>
      <c r="J19" s="128"/>
      <c r="K19" s="124"/>
      <c r="L19" s="128"/>
      <c r="M19" s="124"/>
      <c r="N19" s="128"/>
      <c r="O19" s="124"/>
      <c r="P19" s="128"/>
      <c r="Q19" s="124"/>
      <c r="R19" s="128"/>
      <c r="S19" s="124"/>
      <c r="T19" s="128"/>
      <c r="U19" s="124"/>
      <c r="V19" s="128"/>
      <c r="W19" s="124"/>
      <c r="X19" s="128"/>
      <c r="Y19" s="124"/>
    </row>
    <row r="20" spans="1:25" ht="12.75" customHeight="1">
      <c r="A20" s="296" t="s">
        <v>268</v>
      </c>
      <c r="B20" s="297">
        <v>649505</v>
      </c>
      <c r="C20" s="249"/>
      <c r="D20" s="296" t="s">
        <v>331</v>
      </c>
      <c r="E20" s="297">
        <v>4812</v>
      </c>
      <c r="F20" s="335"/>
      <c r="G20" s="296" t="s">
        <v>320</v>
      </c>
      <c r="H20" s="297">
        <v>7811</v>
      </c>
      <c r="I20" s="124"/>
      <c r="J20" s="128"/>
      <c r="K20" s="124"/>
      <c r="L20" s="128"/>
      <c r="M20" s="124"/>
      <c r="N20" s="128"/>
      <c r="O20" s="124"/>
      <c r="P20" s="128"/>
      <c r="Q20" s="124"/>
      <c r="R20" s="128"/>
      <c r="S20" s="124"/>
      <c r="T20" s="128"/>
      <c r="U20" s="124"/>
      <c r="V20" s="128"/>
      <c r="W20" s="124"/>
      <c r="X20" s="128"/>
      <c r="Y20" s="124"/>
    </row>
    <row r="21" spans="1:25" ht="12.75" customHeight="1">
      <c r="A21" s="117" t="s">
        <v>326</v>
      </c>
      <c r="B21" s="248">
        <v>573723</v>
      </c>
      <c r="C21" s="249"/>
      <c r="D21" s="117" t="s">
        <v>348</v>
      </c>
      <c r="E21" s="248">
        <v>4471</v>
      </c>
      <c r="F21" s="335"/>
      <c r="G21" s="117" t="s">
        <v>343</v>
      </c>
      <c r="H21" s="248">
        <v>6930</v>
      </c>
      <c r="I21" s="124"/>
      <c r="J21" s="128"/>
      <c r="K21" s="124"/>
      <c r="L21" s="128"/>
      <c r="M21" s="124"/>
      <c r="N21" s="128"/>
      <c r="O21" s="124"/>
      <c r="P21" s="128"/>
      <c r="Q21" s="124"/>
      <c r="R21" s="128"/>
      <c r="S21" s="124"/>
      <c r="T21" s="128"/>
      <c r="U21" s="124"/>
      <c r="V21" s="128"/>
      <c r="W21" s="124"/>
      <c r="X21" s="128"/>
      <c r="Y21" s="124"/>
    </row>
    <row r="22" spans="1:25" ht="12.75" customHeight="1">
      <c r="A22" s="296" t="s">
        <v>165</v>
      </c>
      <c r="B22" s="297">
        <v>544838</v>
      </c>
      <c r="C22" s="249"/>
      <c r="D22" s="296" t="s">
        <v>349</v>
      </c>
      <c r="E22" s="297">
        <v>2350</v>
      </c>
      <c r="F22" s="335"/>
      <c r="G22" s="296" t="s">
        <v>361</v>
      </c>
      <c r="H22" s="297">
        <v>4422</v>
      </c>
      <c r="I22" s="124"/>
      <c r="J22" s="128"/>
      <c r="K22" s="124"/>
      <c r="L22" s="128"/>
      <c r="M22" s="124"/>
      <c r="N22" s="128"/>
      <c r="O22" s="124"/>
      <c r="P22" s="128"/>
      <c r="Q22" s="124"/>
      <c r="R22" s="128"/>
      <c r="S22" s="124"/>
      <c r="T22" s="128"/>
      <c r="U22" s="124"/>
      <c r="V22" s="128"/>
      <c r="W22" s="124"/>
      <c r="X22" s="128"/>
      <c r="Y22" s="124"/>
    </row>
    <row r="23" spans="1:25" ht="12.75" customHeight="1">
      <c r="A23" s="117" t="s">
        <v>327</v>
      </c>
      <c r="B23" s="248">
        <v>543585</v>
      </c>
      <c r="C23" s="249"/>
      <c r="D23" s="117" t="s">
        <v>350</v>
      </c>
      <c r="E23" s="248">
        <v>2028</v>
      </c>
      <c r="F23" s="335"/>
      <c r="G23" s="117" t="s">
        <v>362</v>
      </c>
      <c r="H23" s="248">
        <v>3870</v>
      </c>
      <c r="I23" s="124"/>
      <c r="J23" s="128"/>
      <c r="K23" s="124"/>
      <c r="L23" s="128"/>
      <c r="M23" s="124"/>
      <c r="N23" s="128"/>
      <c r="O23" s="124"/>
      <c r="P23" s="128"/>
      <c r="Q23" s="124"/>
      <c r="R23" s="128"/>
      <c r="S23" s="124"/>
      <c r="T23" s="128"/>
      <c r="U23" s="124"/>
      <c r="V23" s="128"/>
      <c r="W23" s="124"/>
      <c r="X23" s="128"/>
      <c r="Y23" s="124"/>
    </row>
    <row r="24" spans="1:25" ht="12.75" customHeight="1">
      <c r="A24" s="296" t="s">
        <v>328</v>
      </c>
      <c r="B24" s="297">
        <v>534111</v>
      </c>
      <c r="C24" s="249"/>
      <c r="D24" s="296" t="s">
        <v>351</v>
      </c>
      <c r="E24" s="297">
        <v>1433</v>
      </c>
      <c r="F24" s="335"/>
      <c r="G24" s="296" t="s">
        <v>352</v>
      </c>
      <c r="H24" s="297">
        <v>3300</v>
      </c>
      <c r="I24" s="124"/>
      <c r="J24" s="128"/>
      <c r="K24" s="124"/>
      <c r="L24" s="128"/>
      <c r="M24" s="124"/>
      <c r="N24" s="128"/>
      <c r="O24" s="124"/>
      <c r="P24" s="128"/>
      <c r="Q24" s="124"/>
      <c r="R24" s="128"/>
      <c r="S24" s="124"/>
      <c r="T24" s="128"/>
      <c r="U24" s="124"/>
      <c r="V24" s="128"/>
      <c r="W24" s="124"/>
      <c r="X24" s="128"/>
      <c r="Y24" s="124"/>
    </row>
    <row r="25" spans="1:25" ht="12.75" customHeight="1">
      <c r="A25" s="117" t="s">
        <v>137</v>
      </c>
      <c r="B25" s="248">
        <v>532512</v>
      </c>
      <c r="C25" s="249"/>
      <c r="D25" s="117" t="s">
        <v>352</v>
      </c>
      <c r="E25" s="248">
        <v>1272</v>
      </c>
      <c r="F25" s="335"/>
      <c r="G25" s="117" t="s">
        <v>363</v>
      </c>
      <c r="H25" s="248">
        <v>2895</v>
      </c>
      <c r="I25" s="124"/>
      <c r="J25" s="128"/>
      <c r="K25" s="124"/>
      <c r="L25" s="128"/>
      <c r="M25" s="124"/>
      <c r="N25" s="128"/>
      <c r="O25" s="124"/>
      <c r="P25" s="128"/>
      <c r="Q25" s="124"/>
      <c r="R25" s="128"/>
      <c r="S25" s="124"/>
      <c r="T25" s="128"/>
      <c r="U25" s="124"/>
      <c r="V25" s="128"/>
      <c r="W25" s="124"/>
      <c r="X25" s="128"/>
      <c r="Y25" s="124"/>
    </row>
    <row r="26" spans="1:25" ht="12.75" customHeight="1">
      <c r="A26" s="296" t="s">
        <v>136</v>
      </c>
      <c r="B26" s="341">
        <v>457943</v>
      </c>
      <c r="C26" s="249"/>
      <c r="D26" s="296" t="s">
        <v>353</v>
      </c>
      <c r="E26" s="340">
        <v>1113</v>
      </c>
      <c r="F26" s="335"/>
      <c r="G26" s="296" t="s">
        <v>351</v>
      </c>
      <c r="H26" s="340">
        <v>1535</v>
      </c>
      <c r="I26" s="124"/>
      <c r="J26" s="128"/>
      <c r="K26" s="124"/>
      <c r="L26" s="128"/>
      <c r="M26" s="124"/>
      <c r="N26" s="128"/>
      <c r="O26" s="124"/>
      <c r="P26" s="128"/>
      <c r="Q26" s="124"/>
      <c r="R26" s="128"/>
      <c r="S26" s="124"/>
      <c r="T26" s="128"/>
      <c r="U26" s="124"/>
      <c r="V26" s="128"/>
      <c r="W26" s="124"/>
      <c r="X26" s="128"/>
      <c r="Y26" s="124"/>
    </row>
    <row r="27" spans="1:25" ht="12.75" customHeight="1">
      <c r="A27" s="117" t="s">
        <v>270</v>
      </c>
      <c r="B27" s="342">
        <v>407696</v>
      </c>
      <c r="C27" s="249"/>
      <c r="D27" s="117" t="s">
        <v>354</v>
      </c>
      <c r="E27" s="339">
        <v>924</v>
      </c>
      <c r="F27" s="335"/>
      <c r="G27" s="117" t="s">
        <v>364</v>
      </c>
      <c r="H27" s="339">
        <v>1153</v>
      </c>
      <c r="I27" s="154"/>
      <c r="J27" s="128"/>
      <c r="K27" s="124"/>
      <c r="L27" s="128"/>
      <c r="M27" s="124"/>
      <c r="N27" s="128"/>
      <c r="O27" s="124"/>
      <c r="P27" s="128"/>
      <c r="Q27" s="124"/>
      <c r="R27" s="128"/>
      <c r="S27" s="124"/>
      <c r="T27" s="128"/>
      <c r="U27" s="124"/>
      <c r="V27" s="128"/>
      <c r="W27" s="124"/>
      <c r="X27" s="128"/>
      <c r="Y27" s="124"/>
    </row>
    <row r="28" spans="1:25" ht="12.75" customHeight="1">
      <c r="A28" s="296" t="s">
        <v>138</v>
      </c>
      <c r="B28" s="341">
        <v>390817</v>
      </c>
      <c r="C28" s="249"/>
      <c r="D28" s="296" t="s">
        <v>320</v>
      </c>
      <c r="E28" s="340">
        <v>766</v>
      </c>
      <c r="F28" s="335"/>
      <c r="G28" s="296" t="s">
        <v>347</v>
      </c>
      <c r="H28" s="340">
        <v>824</v>
      </c>
      <c r="I28" s="124"/>
      <c r="J28" s="128"/>
      <c r="K28" s="124"/>
      <c r="L28" s="128"/>
      <c r="M28" s="124"/>
      <c r="N28" s="128"/>
      <c r="O28" s="124"/>
      <c r="P28" s="128"/>
      <c r="Q28" s="124"/>
      <c r="R28" s="128"/>
      <c r="S28" s="124"/>
      <c r="T28" s="128"/>
      <c r="U28" s="124"/>
      <c r="V28" s="128"/>
      <c r="W28" s="124"/>
      <c r="X28" s="128"/>
      <c r="Y28" s="124"/>
    </row>
    <row r="29" spans="1:25" ht="12.75" customHeight="1">
      <c r="A29" s="117" t="s">
        <v>329</v>
      </c>
      <c r="B29" s="342">
        <v>303143</v>
      </c>
      <c r="C29" s="249"/>
      <c r="D29" s="117" t="s">
        <v>355</v>
      </c>
      <c r="E29" s="339">
        <v>702</v>
      </c>
      <c r="F29" s="335"/>
      <c r="G29" s="117" t="s">
        <v>365</v>
      </c>
      <c r="H29" s="339">
        <v>742</v>
      </c>
      <c r="I29" s="124"/>
      <c r="J29" s="128"/>
      <c r="K29" s="124"/>
      <c r="L29" s="128"/>
      <c r="M29" s="124"/>
      <c r="N29" s="128"/>
      <c r="O29" s="124"/>
      <c r="P29" s="128"/>
      <c r="Q29" s="124"/>
      <c r="R29" s="128"/>
      <c r="S29" s="124"/>
      <c r="T29" s="128"/>
      <c r="U29" s="124"/>
      <c r="V29" s="128"/>
      <c r="W29" s="124"/>
      <c r="X29" s="128"/>
      <c r="Y29" s="124"/>
    </row>
    <row r="30" spans="1:25" ht="12.75" customHeight="1">
      <c r="A30" s="298" t="s">
        <v>330</v>
      </c>
      <c r="B30" s="299">
        <v>296505</v>
      </c>
      <c r="C30" s="249"/>
      <c r="D30" s="296" t="s">
        <v>356</v>
      </c>
      <c r="E30" s="340">
        <v>678</v>
      </c>
      <c r="F30" s="335"/>
      <c r="G30" s="296" t="s">
        <v>191</v>
      </c>
      <c r="H30" s="340">
        <v>709</v>
      </c>
      <c r="I30" s="124"/>
      <c r="J30" s="128"/>
      <c r="K30" s="124"/>
      <c r="L30" s="128"/>
      <c r="M30" s="124"/>
      <c r="N30" s="128"/>
      <c r="O30" s="124"/>
      <c r="P30" s="128"/>
      <c r="Q30" s="124"/>
      <c r="R30" s="128"/>
      <c r="S30" s="124"/>
      <c r="T30" s="128"/>
      <c r="U30" s="124"/>
      <c r="V30" s="128"/>
      <c r="W30" s="124"/>
      <c r="X30" s="128"/>
      <c r="Y30" s="124"/>
    </row>
    <row r="31" spans="1:25" ht="12.75" customHeight="1">
      <c r="A31" s="179" t="s">
        <v>331</v>
      </c>
      <c r="B31" s="250">
        <v>284479</v>
      </c>
      <c r="C31" s="249"/>
      <c r="D31" s="117" t="s">
        <v>357</v>
      </c>
      <c r="E31" s="339">
        <v>634</v>
      </c>
      <c r="F31" s="335"/>
      <c r="G31" s="117" t="s">
        <v>366</v>
      </c>
      <c r="H31" s="339">
        <v>633</v>
      </c>
      <c r="I31" s="124"/>
      <c r="J31" s="128"/>
      <c r="K31" s="124"/>
      <c r="L31" s="128"/>
      <c r="M31" s="124"/>
      <c r="N31" s="128"/>
      <c r="O31" s="124"/>
      <c r="P31" s="128"/>
      <c r="Q31" s="124"/>
      <c r="R31" s="128"/>
      <c r="S31" s="124"/>
      <c r="T31" s="128"/>
      <c r="U31" s="124"/>
      <c r="V31" s="128"/>
      <c r="W31" s="124"/>
      <c r="X31" s="128"/>
      <c r="Y31" s="124"/>
    </row>
    <row r="32" spans="1:25" ht="12.75" customHeight="1">
      <c r="A32" s="298" t="s">
        <v>135</v>
      </c>
      <c r="B32" s="299">
        <v>265593</v>
      </c>
      <c r="C32" s="249"/>
      <c r="D32" s="296" t="s">
        <v>329</v>
      </c>
      <c r="E32" s="340">
        <v>595</v>
      </c>
      <c r="F32" s="335"/>
      <c r="G32" s="296" t="s">
        <v>367</v>
      </c>
      <c r="H32" s="340">
        <v>523</v>
      </c>
      <c r="I32" s="124"/>
      <c r="J32" s="128"/>
      <c r="K32" s="124"/>
      <c r="L32" s="128"/>
      <c r="M32" s="124"/>
      <c r="N32" s="128"/>
      <c r="O32" s="124"/>
      <c r="P32" s="128"/>
      <c r="Q32" s="124"/>
      <c r="R32" s="128"/>
      <c r="S32" s="124"/>
      <c r="T32" s="128"/>
      <c r="U32" s="124"/>
      <c r="V32" s="128"/>
      <c r="W32" s="124"/>
      <c r="X32" s="128"/>
      <c r="Y32" s="124"/>
    </row>
    <row r="33" spans="1:25" ht="12.75" customHeight="1">
      <c r="A33" s="179" t="s">
        <v>332</v>
      </c>
      <c r="B33" s="250">
        <v>240034</v>
      </c>
      <c r="C33" s="249"/>
      <c r="D33" s="323" t="s">
        <v>180</v>
      </c>
      <c r="E33" s="350">
        <f>E35-SUM(E8:E32)</f>
        <v>8520</v>
      </c>
      <c r="F33" s="335"/>
      <c r="G33" s="323" t="s">
        <v>180</v>
      </c>
      <c r="H33" s="350">
        <f>H35-SUM(H8:H32)</f>
        <v>3945</v>
      </c>
      <c r="I33" s="124"/>
      <c r="J33" s="128"/>
      <c r="K33" s="124"/>
      <c r="L33" s="128"/>
      <c r="M33" s="124"/>
      <c r="N33" s="128"/>
      <c r="O33" s="124"/>
      <c r="P33" s="128"/>
      <c r="Q33" s="124"/>
      <c r="R33" s="128"/>
      <c r="S33" s="124"/>
      <c r="T33" s="128"/>
      <c r="U33" s="124"/>
      <c r="V33" s="128"/>
      <c r="W33" s="124"/>
      <c r="X33" s="128"/>
      <c r="Y33" s="124"/>
    </row>
    <row r="34" spans="1:25" ht="12.75" customHeight="1">
      <c r="A34" s="298" t="s">
        <v>333</v>
      </c>
      <c r="B34" s="299">
        <v>206356</v>
      </c>
      <c r="C34" s="249"/>
      <c r="D34" s="347"/>
      <c r="E34" s="348"/>
      <c r="F34" s="335"/>
      <c r="G34" s="336"/>
      <c r="H34" s="337"/>
      <c r="I34" s="124"/>
      <c r="J34" s="128"/>
      <c r="K34" s="124"/>
      <c r="L34" s="128"/>
      <c r="M34" s="124"/>
      <c r="N34" s="128"/>
      <c r="O34" s="124"/>
      <c r="P34" s="128"/>
      <c r="Q34" s="124"/>
      <c r="R34" s="128"/>
      <c r="S34" s="124"/>
      <c r="T34" s="128"/>
      <c r="U34" s="124"/>
      <c r="V34" s="128"/>
      <c r="W34" s="124"/>
      <c r="X34" s="128"/>
      <c r="Y34" s="124"/>
    </row>
    <row r="35" spans="1:25" ht="12.75" customHeight="1">
      <c r="A35" s="117" t="s">
        <v>334</v>
      </c>
      <c r="B35" s="342">
        <v>199468</v>
      </c>
      <c r="C35" s="249"/>
      <c r="D35" s="259" t="s">
        <v>103</v>
      </c>
      <c r="E35" s="260">
        <v>2019876</v>
      </c>
      <c r="F35" s="335"/>
      <c r="G35" s="259" t="s">
        <v>102</v>
      </c>
      <c r="H35" s="260">
        <v>1037576</v>
      </c>
      <c r="I35" s="124"/>
      <c r="J35" s="128"/>
      <c r="K35" s="124"/>
      <c r="L35" s="128"/>
      <c r="M35" s="124"/>
      <c r="N35" s="128"/>
      <c r="O35" s="124"/>
      <c r="P35" s="128"/>
      <c r="Q35" s="124"/>
      <c r="R35" s="128"/>
      <c r="S35" s="124"/>
      <c r="T35" s="128"/>
      <c r="U35" s="124"/>
      <c r="V35" s="128"/>
      <c r="W35" s="124"/>
      <c r="X35" s="128"/>
      <c r="Y35" s="124"/>
    </row>
    <row r="36" spans="1:25" ht="12.75" customHeight="1">
      <c r="A36" s="296" t="s">
        <v>335</v>
      </c>
      <c r="B36" s="341">
        <v>196418</v>
      </c>
      <c r="C36" s="249"/>
      <c r="D36" s="323"/>
      <c r="E36" s="343"/>
      <c r="F36" s="335"/>
      <c r="G36" s="338"/>
      <c r="H36" s="338"/>
      <c r="I36" s="124"/>
      <c r="J36" s="128"/>
      <c r="K36" s="124"/>
      <c r="L36" s="128"/>
      <c r="M36" s="124"/>
      <c r="N36" s="128"/>
      <c r="O36" s="124"/>
      <c r="P36" s="128"/>
      <c r="Q36" s="124"/>
      <c r="R36" s="128"/>
      <c r="S36" s="124"/>
      <c r="T36" s="128"/>
      <c r="U36" s="124"/>
      <c r="V36" s="128"/>
      <c r="W36" s="124"/>
      <c r="X36" s="128"/>
      <c r="Y36" s="124"/>
    </row>
    <row r="37" spans="1:25" ht="12.75" customHeight="1">
      <c r="A37" s="117" t="s">
        <v>336</v>
      </c>
      <c r="B37" s="248">
        <v>191868</v>
      </c>
      <c r="C37" s="249"/>
      <c r="D37" s="323"/>
      <c r="E37" s="343"/>
      <c r="F37" s="335"/>
      <c r="G37" s="338"/>
      <c r="H37" s="338"/>
      <c r="I37" s="124"/>
      <c r="J37" s="128"/>
      <c r="K37" s="124"/>
      <c r="L37" s="128"/>
      <c r="M37" s="124"/>
      <c r="N37" s="128"/>
      <c r="O37" s="124"/>
      <c r="P37" s="128"/>
      <c r="Q37" s="124"/>
      <c r="R37" s="128"/>
      <c r="S37" s="124"/>
      <c r="T37" s="128"/>
      <c r="U37" s="124"/>
      <c r="V37" s="128"/>
      <c r="W37" s="124"/>
      <c r="X37" s="128"/>
      <c r="Y37" s="124"/>
    </row>
    <row r="38" spans="1:25" ht="12.75" customHeight="1">
      <c r="A38" s="296" t="s">
        <v>337</v>
      </c>
      <c r="B38" s="297">
        <v>187661</v>
      </c>
      <c r="C38" s="249"/>
      <c r="D38" s="323"/>
      <c r="E38" s="344"/>
      <c r="F38" s="335"/>
      <c r="G38" s="338"/>
      <c r="H38" s="338"/>
      <c r="I38" s="124"/>
      <c r="J38" s="128"/>
      <c r="K38" s="124"/>
      <c r="L38" s="128"/>
      <c r="M38" s="124"/>
      <c r="N38" s="128"/>
      <c r="O38" s="124"/>
      <c r="P38" s="128"/>
      <c r="Q38" s="124"/>
      <c r="R38" s="128"/>
      <c r="S38" s="124"/>
      <c r="T38" s="128"/>
      <c r="U38" s="124"/>
      <c r="V38" s="128"/>
      <c r="W38" s="124"/>
      <c r="X38" s="128"/>
      <c r="Y38" s="124"/>
    </row>
    <row r="39" spans="1:25" ht="12.75" customHeight="1">
      <c r="A39" s="117" t="s">
        <v>192</v>
      </c>
      <c r="B39" s="342">
        <v>183650</v>
      </c>
      <c r="C39" s="249"/>
      <c r="D39" s="345"/>
      <c r="E39" s="346"/>
      <c r="F39" s="335"/>
      <c r="G39" s="338"/>
      <c r="H39" s="338"/>
      <c r="I39" s="124"/>
      <c r="J39" s="128"/>
      <c r="K39" s="124"/>
      <c r="L39" s="128"/>
      <c r="M39" s="124"/>
      <c r="N39" s="128"/>
      <c r="O39" s="124"/>
      <c r="P39" s="128"/>
      <c r="Q39" s="124"/>
      <c r="R39" s="128"/>
      <c r="S39" s="124"/>
      <c r="T39" s="128"/>
      <c r="U39" s="124"/>
      <c r="V39" s="128"/>
      <c r="W39" s="124"/>
      <c r="X39" s="128"/>
      <c r="Y39" s="124"/>
    </row>
    <row r="40" spans="1:25" ht="12.75" customHeight="1">
      <c r="A40" s="298" t="s">
        <v>180</v>
      </c>
      <c r="B40" s="299">
        <f>B42-SUM(B8:B39)</f>
        <v>3915823</v>
      </c>
      <c r="C40" s="249"/>
      <c r="D40" s="347"/>
      <c r="E40" s="348"/>
      <c r="F40" s="335"/>
      <c r="G40" s="338"/>
      <c r="H40" s="338"/>
      <c r="I40" s="124"/>
      <c r="J40" s="128"/>
      <c r="K40" s="124"/>
      <c r="L40" s="128"/>
      <c r="M40" s="124"/>
      <c r="N40" s="128"/>
      <c r="O40" s="124"/>
      <c r="P40" s="128"/>
      <c r="Q40" s="124"/>
      <c r="R40" s="128"/>
      <c r="S40" s="124"/>
      <c r="T40" s="128"/>
      <c r="U40" s="124"/>
      <c r="V40" s="128"/>
      <c r="W40" s="124"/>
      <c r="X40" s="128"/>
      <c r="Y40" s="124"/>
    </row>
    <row r="41" spans="1:25" ht="12.75" customHeight="1">
      <c r="A41" s="137"/>
      <c r="B41" s="251"/>
      <c r="C41" s="249"/>
      <c r="D41" s="349"/>
      <c r="E41" s="349"/>
      <c r="F41" s="249"/>
      <c r="G41" s="247"/>
      <c r="H41" s="247"/>
      <c r="I41" s="124"/>
      <c r="J41" s="128"/>
      <c r="K41" s="124"/>
      <c r="L41" s="128"/>
      <c r="M41" s="124"/>
      <c r="N41" s="128"/>
      <c r="O41" s="124"/>
      <c r="P41" s="128"/>
      <c r="Q41" s="124"/>
      <c r="R41" s="128"/>
      <c r="S41" s="124"/>
      <c r="T41" s="128"/>
      <c r="U41" s="124"/>
      <c r="V41" s="128"/>
      <c r="W41" s="124"/>
      <c r="X41" s="128"/>
      <c r="Y41" s="124"/>
    </row>
    <row r="42" spans="1:25" ht="12.75" customHeight="1">
      <c r="A42" s="259" t="s">
        <v>104</v>
      </c>
      <c r="B42" s="260">
        <v>50172457</v>
      </c>
      <c r="C42" s="249"/>
      <c r="D42" s="349"/>
      <c r="E42" s="349"/>
      <c r="F42" s="249"/>
      <c r="G42" s="247"/>
      <c r="H42" s="247"/>
      <c r="I42" s="124"/>
      <c r="J42" s="128"/>
      <c r="K42" s="124"/>
      <c r="L42" s="128"/>
      <c r="M42" s="124"/>
      <c r="N42" s="128"/>
      <c r="O42" s="124"/>
      <c r="P42" s="128"/>
      <c r="Q42" s="124"/>
      <c r="R42" s="128"/>
      <c r="S42" s="124"/>
      <c r="T42" s="128"/>
      <c r="U42" s="124"/>
      <c r="V42" s="128"/>
      <c r="W42" s="124"/>
      <c r="X42" s="124"/>
      <c r="Y42" s="124"/>
    </row>
    <row r="43" spans="1:25" ht="12.75" customHeight="1">
      <c r="A43" s="163" t="s">
        <v>77</v>
      </c>
      <c r="B43" s="252"/>
      <c r="C43" s="253"/>
      <c r="D43" s="254"/>
      <c r="E43" s="254"/>
      <c r="F43" s="253"/>
      <c r="G43" s="254"/>
      <c r="H43" s="254"/>
      <c r="I43" s="124"/>
      <c r="J43" s="128"/>
      <c r="K43" s="124"/>
      <c r="L43" s="128"/>
      <c r="M43" s="124"/>
      <c r="N43" s="128"/>
      <c r="O43" s="124"/>
      <c r="P43" s="128"/>
      <c r="Q43" s="124"/>
      <c r="R43" s="128"/>
      <c r="S43" s="124"/>
      <c r="T43" s="128"/>
      <c r="U43" s="124"/>
      <c r="V43" s="128"/>
      <c r="W43" s="124"/>
      <c r="X43" s="128"/>
      <c r="Y43" s="124"/>
    </row>
    <row r="44" spans="1:25" ht="12.75" customHeight="1">
      <c r="A44" s="137"/>
      <c r="B44" s="251"/>
      <c r="C44" s="249"/>
      <c r="D44" s="247"/>
      <c r="E44" s="247"/>
      <c r="F44" s="249"/>
      <c r="G44" s="247"/>
      <c r="H44" s="247"/>
      <c r="I44" s="124"/>
      <c r="J44" s="128"/>
      <c r="K44" s="124"/>
      <c r="L44" s="128"/>
      <c r="M44" s="124"/>
      <c r="N44" s="128"/>
      <c r="O44" s="124"/>
      <c r="P44" s="128"/>
      <c r="Q44" s="124"/>
      <c r="R44" s="128"/>
      <c r="S44" s="124"/>
      <c r="T44" s="128"/>
      <c r="U44" s="124"/>
      <c r="V44" s="128"/>
      <c r="W44" s="124"/>
      <c r="X44" s="128"/>
      <c r="Y44" s="124"/>
    </row>
    <row r="45" spans="3:25" ht="12.75" customHeight="1">
      <c r="C45" s="124"/>
      <c r="D45" s="128"/>
      <c r="E45" s="128"/>
      <c r="F45" s="124"/>
      <c r="G45" s="128"/>
      <c r="H45" s="128"/>
      <c r="I45" s="124"/>
      <c r="J45" s="128"/>
      <c r="K45" s="124"/>
      <c r="L45" s="128"/>
      <c r="M45" s="124"/>
      <c r="N45" s="128"/>
      <c r="O45" s="124"/>
      <c r="P45" s="128"/>
      <c r="Q45" s="124"/>
      <c r="R45" s="128"/>
      <c r="S45" s="124"/>
      <c r="T45" s="128"/>
      <c r="U45" s="124"/>
      <c r="V45" s="128"/>
      <c r="W45" s="124"/>
      <c r="X45" s="128"/>
      <c r="Y45" s="124"/>
    </row>
    <row r="46" spans="3:25" ht="12.75" customHeight="1">
      <c r="C46" s="124"/>
      <c r="D46" s="124"/>
      <c r="E46" s="124"/>
      <c r="F46" s="124"/>
      <c r="G46" s="124"/>
      <c r="H46" s="128"/>
      <c r="I46" s="124"/>
      <c r="J46" s="128"/>
      <c r="K46" s="127"/>
      <c r="L46" s="126"/>
      <c r="M46" s="124"/>
      <c r="N46" s="128"/>
      <c r="O46" s="124"/>
      <c r="P46" s="128"/>
      <c r="Q46" s="124"/>
      <c r="R46" s="128"/>
      <c r="S46" s="124"/>
      <c r="T46" s="128"/>
      <c r="U46" s="124"/>
      <c r="V46" s="124"/>
      <c r="W46" s="124"/>
      <c r="X46" s="124"/>
      <c r="Y46" s="124"/>
    </row>
    <row r="47" spans="3:25" ht="12.75" customHeight="1">
      <c r="C47" s="124"/>
      <c r="D47" s="128"/>
      <c r="E47" s="128"/>
      <c r="F47" s="124"/>
      <c r="G47" s="128"/>
      <c r="H47" s="128"/>
      <c r="I47" s="124"/>
      <c r="J47" s="128"/>
      <c r="K47" s="127"/>
      <c r="L47" s="126"/>
      <c r="M47" s="124"/>
      <c r="N47" s="128"/>
      <c r="O47" s="124"/>
      <c r="P47" s="128"/>
      <c r="Q47" s="124"/>
      <c r="R47" s="128"/>
      <c r="S47" s="124"/>
      <c r="T47" s="128"/>
      <c r="U47" s="124"/>
      <c r="V47" s="128"/>
      <c r="W47" s="124"/>
      <c r="X47" s="128"/>
      <c r="Y47" s="124"/>
    </row>
    <row r="48" spans="3:25" ht="12.75" customHeight="1">
      <c r="C48" s="124"/>
      <c r="D48" s="128"/>
      <c r="E48" s="128"/>
      <c r="F48" s="124"/>
      <c r="G48" s="128"/>
      <c r="H48" s="128"/>
      <c r="I48" s="124"/>
      <c r="J48" s="128"/>
      <c r="K48" s="127"/>
      <c r="L48" s="126"/>
      <c r="M48" s="124"/>
      <c r="N48" s="128"/>
      <c r="O48" s="124"/>
      <c r="P48" s="128"/>
      <c r="Q48" s="124"/>
      <c r="R48" s="128"/>
      <c r="S48" s="124"/>
      <c r="T48" s="128"/>
      <c r="U48" s="124"/>
      <c r="V48" s="128"/>
      <c r="W48" s="124"/>
      <c r="X48" s="128"/>
      <c r="Y48" s="124"/>
    </row>
    <row r="49" spans="3:25" ht="12.75" customHeight="1">
      <c r="C49" s="124"/>
      <c r="D49" s="124"/>
      <c r="E49" s="124"/>
      <c r="F49" s="124"/>
      <c r="G49" s="128"/>
      <c r="H49" s="128"/>
      <c r="I49" s="124"/>
      <c r="J49" s="128"/>
      <c r="K49" s="127"/>
      <c r="L49" s="126"/>
      <c r="M49" s="124"/>
      <c r="N49" s="128"/>
      <c r="O49" s="124"/>
      <c r="P49" s="128"/>
      <c r="Q49" s="124"/>
      <c r="R49" s="128"/>
      <c r="S49" s="124"/>
      <c r="T49" s="128"/>
      <c r="U49" s="124"/>
      <c r="V49" s="128"/>
      <c r="W49" s="124"/>
      <c r="X49" s="128"/>
      <c r="Y49" s="124"/>
    </row>
    <row r="50" spans="3:25" ht="12.75" customHeight="1">
      <c r="C50" s="124"/>
      <c r="D50" s="128"/>
      <c r="E50" s="128"/>
      <c r="F50" s="124"/>
      <c r="G50" s="128"/>
      <c r="H50" s="128"/>
      <c r="I50" s="124"/>
      <c r="J50" s="128"/>
      <c r="K50" s="127"/>
      <c r="L50" s="126"/>
      <c r="M50" s="124"/>
      <c r="N50" s="128"/>
      <c r="O50" s="124"/>
      <c r="P50" s="128"/>
      <c r="Q50" s="124"/>
      <c r="R50" s="128"/>
      <c r="S50" s="124"/>
      <c r="T50" s="128"/>
      <c r="U50" s="124"/>
      <c r="V50" s="124"/>
      <c r="W50" s="124"/>
      <c r="X50" s="124"/>
      <c r="Y50" s="124"/>
    </row>
    <row r="51" spans="3:25" ht="12.75" customHeight="1">
      <c r="C51" s="124"/>
      <c r="D51" s="128"/>
      <c r="E51" s="128"/>
      <c r="F51" s="124"/>
      <c r="G51" s="128"/>
      <c r="H51" s="128"/>
      <c r="I51" s="124"/>
      <c r="J51" s="128"/>
      <c r="K51" s="127"/>
      <c r="L51" s="126"/>
      <c r="M51" s="124"/>
      <c r="N51" s="128"/>
      <c r="O51" s="124"/>
      <c r="P51" s="128"/>
      <c r="Q51" s="124"/>
      <c r="R51" s="128"/>
      <c r="S51" s="124"/>
      <c r="T51" s="128"/>
      <c r="U51" s="124"/>
      <c r="V51" s="128"/>
      <c r="W51" s="124"/>
      <c r="X51" s="128"/>
      <c r="Y51" s="124"/>
    </row>
    <row r="52" spans="3:25" ht="12.75" customHeight="1">
      <c r="C52" s="124"/>
      <c r="D52" s="128"/>
      <c r="E52" s="128"/>
      <c r="F52" s="124"/>
      <c r="G52" s="128"/>
      <c r="H52" s="128"/>
      <c r="I52" s="124"/>
      <c r="J52" s="128"/>
      <c r="K52" s="127"/>
      <c r="L52" s="126"/>
      <c r="M52" s="124"/>
      <c r="N52" s="128"/>
      <c r="O52" s="124"/>
      <c r="P52" s="128"/>
      <c r="Q52" s="124"/>
      <c r="R52" s="128"/>
      <c r="S52" s="124"/>
      <c r="T52" s="128"/>
      <c r="U52" s="124"/>
      <c r="V52" s="128"/>
      <c r="W52" s="124"/>
      <c r="X52" s="128"/>
      <c r="Y52" s="124"/>
    </row>
    <row r="53" spans="3:25" ht="12.75" customHeight="1">
      <c r="C53" s="124"/>
      <c r="D53" s="124"/>
      <c r="E53" s="128"/>
      <c r="F53" s="124"/>
      <c r="G53" s="128"/>
      <c r="H53" s="128"/>
      <c r="I53" s="124"/>
      <c r="J53" s="128"/>
      <c r="K53" s="127"/>
      <c r="L53" s="126"/>
      <c r="M53" s="124"/>
      <c r="N53" s="128"/>
      <c r="O53" s="124"/>
      <c r="P53" s="128"/>
      <c r="Q53" s="124"/>
      <c r="R53" s="128"/>
      <c r="S53" s="124"/>
      <c r="T53" s="128"/>
      <c r="U53" s="124"/>
      <c r="V53" s="128"/>
      <c r="W53" s="124"/>
      <c r="X53" s="128"/>
      <c r="Y53" s="124"/>
    </row>
    <row r="54" spans="3:25" ht="12.75" customHeight="1">
      <c r="C54" s="124"/>
      <c r="D54" s="124"/>
      <c r="E54" s="128"/>
      <c r="F54" s="124"/>
      <c r="G54" s="128"/>
      <c r="H54" s="128"/>
      <c r="I54" s="124"/>
      <c r="J54" s="128"/>
      <c r="K54" s="127"/>
      <c r="L54" s="126"/>
      <c r="M54" s="124"/>
      <c r="N54" s="128"/>
      <c r="O54" s="124"/>
      <c r="P54" s="128"/>
      <c r="Q54" s="124"/>
      <c r="R54" s="128"/>
      <c r="S54" s="124"/>
      <c r="T54" s="128"/>
      <c r="U54" s="124"/>
      <c r="V54" s="128"/>
      <c r="W54" s="124"/>
      <c r="X54" s="128"/>
      <c r="Y54" s="124"/>
    </row>
    <row r="55" spans="3:25" ht="12.75" customHeight="1">
      <c r="C55" s="124"/>
      <c r="D55" s="128"/>
      <c r="E55" s="128"/>
      <c r="F55" s="124"/>
      <c r="G55" s="128"/>
      <c r="H55" s="128"/>
      <c r="I55" s="124"/>
      <c r="J55" s="128"/>
      <c r="K55" s="127"/>
      <c r="L55" s="126"/>
      <c r="M55" s="124"/>
      <c r="N55" s="128"/>
      <c r="O55" s="124"/>
      <c r="P55" s="128"/>
      <c r="Q55" s="124"/>
      <c r="R55" s="128"/>
      <c r="S55" s="124"/>
      <c r="T55" s="128"/>
      <c r="U55" s="124"/>
      <c r="V55" s="128"/>
      <c r="W55" s="124"/>
      <c r="X55" s="128"/>
      <c r="Y55" s="124"/>
    </row>
    <row r="56" spans="3:25" ht="12.75" customHeight="1">
      <c r="C56" s="124"/>
      <c r="D56" s="128"/>
      <c r="E56" s="128"/>
      <c r="F56" s="124"/>
      <c r="G56" s="128"/>
      <c r="H56" s="128"/>
      <c r="I56" s="124"/>
      <c r="J56" s="128"/>
      <c r="K56" s="127"/>
      <c r="L56" s="126"/>
      <c r="M56" s="124"/>
      <c r="N56" s="128"/>
      <c r="O56" s="124"/>
      <c r="P56" s="128"/>
      <c r="Q56" s="124"/>
      <c r="R56" s="128"/>
      <c r="S56" s="124"/>
      <c r="T56" s="128"/>
      <c r="U56" s="124"/>
      <c r="V56" s="128"/>
      <c r="W56" s="124"/>
      <c r="X56" s="128"/>
      <c r="Y56" s="124"/>
    </row>
    <row r="57" spans="3:25" ht="12.75" customHeight="1">
      <c r="C57" s="124"/>
      <c r="D57" s="128"/>
      <c r="E57" s="128"/>
      <c r="F57" s="124"/>
      <c r="G57" s="128"/>
      <c r="H57" s="128"/>
      <c r="I57" s="124"/>
      <c r="J57" s="128"/>
      <c r="K57" s="127"/>
      <c r="L57" s="126"/>
      <c r="M57" s="124"/>
      <c r="N57" s="128"/>
      <c r="O57" s="124"/>
      <c r="P57" s="128"/>
      <c r="Q57" s="124"/>
      <c r="R57" s="128"/>
      <c r="S57" s="124"/>
      <c r="T57" s="128"/>
      <c r="U57" s="124"/>
      <c r="V57" s="128"/>
      <c r="W57" s="124"/>
      <c r="X57" s="128"/>
      <c r="Y57" s="124"/>
    </row>
    <row r="58" spans="3:25" ht="12.75" customHeight="1">
      <c r="C58" s="124"/>
      <c r="D58" s="128"/>
      <c r="E58" s="128"/>
      <c r="F58" s="124"/>
      <c r="G58" s="128"/>
      <c r="H58" s="128"/>
      <c r="I58" s="124"/>
      <c r="J58" s="128"/>
      <c r="K58" s="127"/>
      <c r="L58" s="126"/>
      <c r="M58" s="124"/>
      <c r="N58" s="128"/>
      <c r="O58" s="124"/>
      <c r="P58" s="128"/>
      <c r="Q58" s="124"/>
      <c r="R58" s="128"/>
      <c r="S58" s="124"/>
      <c r="T58" s="128"/>
      <c r="U58" s="124"/>
      <c r="V58" s="124"/>
      <c r="W58" s="124"/>
      <c r="X58" s="124"/>
      <c r="Y58" s="124"/>
    </row>
    <row r="59" spans="3:25" ht="12.75" customHeight="1">
      <c r="C59" s="124"/>
      <c r="D59" s="124"/>
      <c r="E59" s="124"/>
      <c r="F59" s="124"/>
      <c r="G59" s="124"/>
      <c r="H59" s="124"/>
      <c r="I59" s="124"/>
      <c r="J59" s="124"/>
      <c r="K59" s="127"/>
      <c r="L59" s="126"/>
      <c r="M59" s="124"/>
      <c r="N59" s="128"/>
      <c r="O59" s="124"/>
      <c r="P59" s="128"/>
      <c r="Q59" s="124"/>
      <c r="R59" s="128"/>
      <c r="S59" s="124"/>
      <c r="T59" s="128"/>
      <c r="U59" s="124"/>
      <c r="V59" s="124"/>
      <c r="W59" s="124"/>
      <c r="X59" s="124"/>
      <c r="Y59" s="124"/>
    </row>
    <row r="60" spans="3:25" ht="12.75" customHeight="1">
      <c r="C60" s="124"/>
      <c r="D60" s="128"/>
      <c r="E60" s="128"/>
      <c r="F60" s="124"/>
      <c r="G60" s="128"/>
      <c r="H60" s="128"/>
      <c r="I60" s="124"/>
      <c r="J60" s="128"/>
      <c r="K60" s="127"/>
      <c r="L60" s="126"/>
      <c r="M60" s="124"/>
      <c r="N60" s="128"/>
      <c r="O60" s="124"/>
      <c r="P60" s="128"/>
      <c r="Q60" s="124"/>
      <c r="R60" s="128"/>
      <c r="S60" s="124"/>
      <c r="T60" s="128"/>
      <c r="U60" s="124"/>
      <c r="V60" s="128"/>
      <c r="W60" s="124"/>
      <c r="X60" s="128"/>
      <c r="Y60" s="124"/>
    </row>
    <row r="61" spans="3:25" ht="12.75" customHeight="1">
      <c r="C61" s="124"/>
      <c r="D61" s="128"/>
      <c r="E61" s="128"/>
      <c r="F61" s="124"/>
      <c r="G61" s="128"/>
      <c r="H61" s="128"/>
      <c r="I61" s="124"/>
      <c r="J61" s="128"/>
      <c r="K61" s="127"/>
      <c r="L61" s="126"/>
      <c r="M61" s="124"/>
      <c r="N61" s="128"/>
      <c r="O61" s="124"/>
      <c r="P61" s="128"/>
      <c r="Q61" s="124"/>
      <c r="R61" s="128"/>
      <c r="S61" s="124"/>
      <c r="T61" s="128"/>
      <c r="U61" s="124"/>
      <c r="V61" s="128"/>
      <c r="W61" s="124"/>
      <c r="X61" s="128"/>
      <c r="Y61" s="124"/>
    </row>
    <row r="62" spans="3:25" ht="12.75" customHeight="1">
      <c r="C62" s="124"/>
      <c r="D62" s="128"/>
      <c r="E62" s="128"/>
      <c r="F62" s="124"/>
      <c r="G62" s="128"/>
      <c r="H62" s="128"/>
      <c r="I62" s="124"/>
      <c r="J62" s="128"/>
      <c r="K62" s="127"/>
      <c r="L62" s="126"/>
      <c r="M62" s="124"/>
      <c r="N62" s="128"/>
      <c r="O62" s="124"/>
      <c r="P62" s="128"/>
      <c r="Q62" s="124"/>
      <c r="R62" s="128"/>
      <c r="S62" s="124"/>
      <c r="T62" s="128"/>
      <c r="U62" s="124"/>
      <c r="V62" s="128"/>
      <c r="W62" s="124"/>
      <c r="X62" s="128"/>
      <c r="Y62" s="124"/>
    </row>
    <row r="63" spans="3:25" ht="12.75" customHeight="1">
      <c r="C63" s="124"/>
      <c r="D63" s="124"/>
      <c r="E63" s="124"/>
      <c r="F63" s="124"/>
      <c r="G63" s="124"/>
      <c r="H63" s="124"/>
      <c r="I63" s="124"/>
      <c r="J63" s="128"/>
      <c r="K63" s="127"/>
      <c r="L63" s="126"/>
      <c r="M63" s="124"/>
      <c r="N63" s="128"/>
      <c r="O63" s="124"/>
      <c r="P63" s="128"/>
      <c r="Q63" s="124"/>
      <c r="R63" s="128"/>
      <c r="S63" s="124"/>
      <c r="T63" s="128"/>
      <c r="U63" s="124"/>
      <c r="V63" s="124"/>
      <c r="W63" s="124"/>
      <c r="X63" s="124"/>
      <c r="Y63" s="124"/>
    </row>
    <row r="64" spans="3:25" ht="12.75" customHeight="1">
      <c r="C64" s="124"/>
      <c r="D64" s="124"/>
      <c r="E64" s="124"/>
      <c r="F64" s="124"/>
      <c r="G64" s="124"/>
      <c r="H64" s="124"/>
      <c r="I64" s="124"/>
      <c r="J64" s="124"/>
      <c r="K64" s="127"/>
      <c r="L64" s="126"/>
      <c r="M64" s="124"/>
      <c r="N64" s="128"/>
      <c r="O64" s="124"/>
      <c r="P64" s="128"/>
      <c r="Q64" s="124"/>
      <c r="R64" s="128"/>
      <c r="S64" s="124"/>
      <c r="T64" s="128"/>
      <c r="U64" s="124"/>
      <c r="V64" s="128"/>
      <c r="W64" s="124"/>
      <c r="X64" s="128"/>
      <c r="Y64" s="124"/>
    </row>
    <row r="65" spans="3:25" ht="12.75" customHeight="1">
      <c r="C65" s="124"/>
      <c r="D65" s="128"/>
      <c r="E65" s="128"/>
      <c r="F65" s="124"/>
      <c r="G65" s="128"/>
      <c r="H65" s="128"/>
      <c r="I65" s="124"/>
      <c r="J65" s="128"/>
      <c r="K65" s="127"/>
      <c r="L65" s="126"/>
      <c r="M65" s="124"/>
      <c r="N65" s="128"/>
      <c r="O65" s="124"/>
      <c r="P65" s="128"/>
      <c r="Q65" s="124"/>
      <c r="R65" s="128"/>
      <c r="S65" s="124"/>
      <c r="T65" s="128"/>
      <c r="U65" s="124"/>
      <c r="V65" s="124"/>
      <c r="W65" s="124"/>
      <c r="X65" s="124"/>
      <c r="Y65" s="124"/>
    </row>
    <row r="66" spans="3:25" ht="12.75" customHeight="1">
      <c r="C66" s="124"/>
      <c r="D66" s="128"/>
      <c r="E66" s="128"/>
      <c r="F66" s="124"/>
      <c r="G66" s="128"/>
      <c r="H66" s="128"/>
      <c r="I66" s="124"/>
      <c r="J66" s="128"/>
      <c r="K66" s="127"/>
      <c r="L66" s="126"/>
      <c r="M66" s="124"/>
      <c r="N66" s="128"/>
      <c r="O66" s="124"/>
      <c r="P66" s="128"/>
      <c r="Q66" s="124"/>
      <c r="R66" s="128"/>
      <c r="S66" s="124"/>
      <c r="T66" s="128"/>
      <c r="U66" s="124"/>
      <c r="V66" s="128"/>
      <c r="W66" s="124"/>
      <c r="X66" s="128"/>
      <c r="Y66" s="124"/>
    </row>
    <row r="67" spans="3:25" ht="12.75" customHeight="1">
      <c r="C67" s="124"/>
      <c r="D67" s="128"/>
      <c r="E67" s="128"/>
      <c r="F67" s="124"/>
      <c r="G67" s="128"/>
      <c r="H67" s="128"/>
      <c r="I67" s="124"/>
      <c r="J67" s="128"/>
      <c r="K67" s="127"/>
      <c r="L67" s="126"/>
      <c r="M67" s="124"/>
      <c r="N67" s="128"/>
      <c r="O67" s="124"/>
      <c r="P67" s="128"/>
      <c r="Q67" s="124"/>
      <c r="R67" s="128"/>
      <c r="S67" s="124"/>
      <c r="T67" s="128"/>
      <c r="U67" s="124"/>
      <c r="V67" s="128"/>
      <c r="W67" s="124"/>
      <c r="X67" s="128"/>
      <c r="Y67" s="124"/>
    </row>
    <row r="68" spans="3:25" ht="12.75" customHeight="1">
      <c r="C68" s="124"/>
      <c r="D68" s="124"/>
      <c r="E68" s="124"/>
      <c r="F68" s="124"/>
      <c r="G68" s="124"/>
      <c r="H68" s="128"/>
      <c r="I68" s="124"/>
      <c r="J68" s="128"/>
      <c r="K68" s="127"/>
      <c r="L68" s="126"/>
      <c r="M68" s="124"/>
      <c r="N68" s="128"/>
      <c r="O68" s="124"/>
      <c r="P68" s="128"/>
      <c r="Q68" s="124"/>
      <c r="R68" s="128"/>
      <c r="S68" s="124"/>
      <c r="T68" s="128"/>
      <c r="U68" s="124"/>
      <c r="V68" s="128"/>
      <c r="W68" s="124"/>
      <c r="X68" s="128"/>
      <c r="Y68" s="124"/>
    </row>
    <row r="69" spans="3:25" ht="12.75" customHeight="1">
      <c r="C69" s="124"/>
      <c r="D69" s="128"/>
      <c r="E69" s="128"/>
      <c r="F69" s="124"/>
      <c r="G69" s="128"/>
      <c r="H69" s="128"/>
      <c r="I69" s="124"/>
      <c r="J69" s="128"/>
      <c r="K69" s="127"/>
      <c r="L69" s="126"/>
      <c r="M69" s="124"/>
      <c r="N69" s="128"/>
      <c r="O69" s="124"/>
      <c r="P69" s="128"/>
      <c r="Q69" s="124"/>
      <c r="R69" s="128"/>
      <c r="S69" s="124"/>
      <c r="T69" s="128"/>
      <c r="U69" s="124"/>
      <c r="V69" s="128"/>
      <c r="W69" s="124"/>
      <c r="X69" s="128"/>
      <c r="Y69" s="124"/>
    </row>
    <row r="70" spans="3:25" ht="12.75" customHeight="1">
      <c r="C70" s="124"/>
      <c r="D70" s="124"/>
      <c r="E70" s="124"/>
      <c r="F70" s="124"/>
      <c r="G70" s="124"/>
      <c r="H70" s="128"/>
      <c r="I70" s="124"/>
      <c r="J70" s="128"/>
      <c r="K70" s="127"/>
      <c r="L70" s="126"/>
      <c r="M70" s="124"/>
      <c r="N70" s="128"/>
      <c r="O70" s="124"/>
      <c r="P70" s="128"/>
      <c r="Q70" s="124"/>
      <c r="R70" s="128"/>
      <c r="S70" s="124"/>
      <c r="T70" s="128"/>
      <c r="U70" s="124"/>
      <c r="V70" s="128"/>
      <c r="W70" s="124"/>
      <c r="X70" s="128"/>
      <c r="Y70" s="124"/>
    </row>
    <row r="71" spans="3:25" ht="12.75" customHeight="1">
      <c r="C71" s="124"/>
      <c r="D71" s="124"/>
      <c r="E71" s="124"/>
      <c r="F71" s="124"/>
      <c r="G71" s="124"/>
      <c r="H71" s="124"/>
      <c r="I71" s="124"/>
      <c r="J71" s="128"/>
      <c r="K71" s="127"/>
      <c r="L71" s="126"/>
      <c r="M71" s="124"/>
      <c r="N71" s="128"/>
      <c r="O71" s="124"/>
      <c r="P71" s="128"/>
      <c r="Q71" s="124"/>
      <c r="R71" s="128"/>
      <c r="S71" s="124"/>
      <c r="T71" s="128"/>
      <c r="U71" s="124"/>
      <c r="V71" s="124"/>
      <c r="W71" s="124"/>
      <c r="X71" s="124"/>
      <c r="Y71" s="124"/>
    </row>
    <row r="72" spans="3:25" ht="12.75" customHeight="1">
      <c r="C72" s="124"/>
      <c r="D72" s="124"/>
      <c r="E72" s="124"/>
      <c r="F72" s="124"/>
      <c r="G72" s="124"/>
      <c r="H72" s="124"/>
      <c r="I72" s="124"/>
      <c r="J72" s="124"/>
      <c r="K72" s="127"/>
      <c r="L72" s="126"/>
      <c r="M72" s="124"/>
      <c r="N72" s="128"/>
      <c r="O72" s="124"/>
      <c r="P72" s="128"/>
      <c r="Q72" s="124"/>
      <c r="R72" s="128"/>
      <c r="S72" s="124"/>
      <c r="T72" s="128"/>
      <c r="U72" s="124"/>
      <c r="V72" s="128"/>
      <c r="W72" s="124"/>
      <c r="X72" s="128"/>
      <c r="Y72" s="124"/>
    </row>
    <row r="73" spans="3:25" ht="12.75" customHeight="1">
      <c r="C73" s="124"/>
      <c r="D73" s="128"/>
      <c r="E73" s="128"/>
      <c r="F73" s="124"/>
      <c r="G73" s="128"/>
      <c r="H73" s="128"/>
      <c r="I73" s="124"/>
      <c r="J73" s="128"/>
      <c r="K73" s="127"/>
      <c r="L73" s="126"/>
      <c r="M73" s="124"/>
      <c r="N73" s="128"/>
      <c r="O73" s="124"/>
      <c r="P73" s="128"/>
      <c r="Q73" s="124"/>
      <c r="R73" s="128"/>
      <c r="S73" s="124"/>
      <c r="T73" s="128"/>
      <c r="U73" s="124"/>
      <c r="V73" s="128"/>
      <c r="W73" s="124"/>
      <c r="X73" s="128"/>
      <c r="Y73" s="124"/>
    </row>
    <row r="74" spans="3:25" ht="12.75" customHeight="1">
      <c r="C74" s="124"/>
      <c r="D74" s="124"/>
      <c r="E74" s="124"/>
      <c r="F74" s="124"/>
      <c r="G74" s="124"/>
      <c r="H74" s="128"/>
      <c r="I74" s="124"/>
      <c r="J74" s="128"/>
      <c r="K74" s="127"/>
      <c r="L74" s="126"/>
      <c r="M74" s="124"/>
      <c r="N74" s="128"/>
      <c r="O74" s="124"/>
      <c r="P74" s="128"/>
      <c r="Q74" s="124"/>
      <c r="R74" s="128"/>
      <c r="S74" s="124"/>
      <c r="T74" s="128"/>
      <c r="U74" s="124"/>
      <c r="V74" s="124"/>
      <c r="W74" s="124"/>
      <c r="X74" s="124"/>
      <c r="Y74" s="124"/>
    </row>
    <row r="75" spans="3:25" ht="12.75" customHeight="1">
      <c r="C75" s="124"/>
      <c r="D75" s="128"/>
      <c r="E75" s="128"/>
      <c r="F75" s="124"/>
      <c r="G75" s="128"/>
      <c r="H75" s="128"/>
      <c r="I75" s="124"/>
      <c r="J75" s="128"/>
      <c r="K75" s="127"/>
      <c r="L75" s="126"/>
      <c r="M75" s="124"/>
      <c r="N75" s="128"/>
      <c r="O75" s="124"/>
      <c r="P75" s="128"/>
      <c r="Q75" s="124"/>
      <c r="R75" s="128"/>
      <c r="S75" s="124"/>
      <c r="T75" s="128"/>
      <c r="U75" s="124"/>
      <c r="V75" s="128"/>
      <c r="W75" s="124"/>
      <c r="X75" s="128"/>
      <c r="Y75" s="124"/>
    </row>
    <row r="76" spans="3:25" ht="12.75" customHeight="1">
      <c r="C76" s="124"/>
      <c r="D76" s="124"/>
      <c r="E76" s="124"/>
      <c r="F76" s="124"/>
      <c r="G76" s="124"/>
      <c r="H76" s="128"/>
      <c r="I76" s="124"/>
      <c r="J76" s="128"/>
      <c r="K76" s="127"/>
      <c r="L76" s="126"/>
      <c r="M76" s="124"/>
      <c r="N76" s="128"/>
      <c r="O76" s="124"/>
      <c r="P76" s="128"/>
      <c r="Q76" s="124"/>
      <c r="R76" s="128"/>
      <c r="S76" s="124"/>
      <c r="T76" s="128"/>
      <c r="U76" s="124"/>
      <c r="V76" s="124"/>
      <c r="W76" s="124"/>
      <c r="X76" s="124"/>
      <c r="Y76" s="124"/>
    </row>
    <row r="77" spans="3:25" ht="12.75" customHeight="1">
      <c r="C77" s="124"/>
      <c r="D77" s="128"/>
      <c r="E77" s="128"/>
      <c r="F77" s="124"/>
      <c r="G77" s="128"/>
      <c r="H77" s="128"/>
      <c r="I77" s="124"/>
      <c r="J77" s="128"/>
      <c r="K77" s="127"/>
      <c r="L77" s="126"/>
      <c r="M77" s="124"/>
      <c r="N77" s="128"/>
      <c r="O77" s="124"/>
      <c r="P77" s="128"/>
      <c r="Q77" s="124"/>
      <c r="R77" s="128"/>
      <c r="S77" s="124"/>
      <c r="T77" s="128"/>
      <c r="U77" s="124"/>
      <c r="V77" s="128"/>
      <c r="W77" s="124"/>
      <c r="X77" s="128"/>
      <c r="Y77" s="124"/>
    </row>
    <row r="78" spans="3:25" ht="12.75" customHeight="1">
      <c r="C78" s="124"/>
      <c r="D78" s="124"/>
      <c r="E78" s="124"/>
      <c r="F78" s="124"/>
      <c r="G78" s="124"/>
      <c r="H78" s="128"/>
      <c r="I78" s="124"/>
      <c r="J78" s="128"/>
      <c r="K78" s="127"/>
      <c r="L78" s="126"/>
      <c r="M78" s="124"/>
      <c r="N78" s="124"/>
      <c r="O78" s="124"/>
      <c r="P78" s="128"/>
      <c r="Q78" s="124"/>
      <c r="R78" s="128"/>
      <c r="S78" s="124"/>
      <c r="T78" s="128"/>
      <c r="U78" s="124"/>
      <c r="V78" s="124"/>
      <c r="W78" s="124"/>
      <c r="X78" s="128"/>
      <c r="Y78" s="124"/>
    </row>
    <row r="79" spans="3:25" ht="12.75" customHeight="1">
      <c r="C79" s="124"/>
      <c r="D79" s="128"/>
      <c r="E79" s="124"/>
      <c r="F79" s="124"/>
      <c r="G79" s="124"/>
      <c r="H79" s="124"/>
      <c r="I79" s="124"/>
      <c r="J79" s="128"/>
      <c r="K79" s="127"/>
      <c r="L79" s="126"/>
      <c r="M79" s="124"/>
      <c r="N79" s="128"/>
      <c r="O79" s="124"/>
      <c r="P79" s="128"/>
      <c r="Q79" s="124"/>
      <c r="R79" s="128"/>
      <c r="S79" s="124"/>
      <c r="T79" s="128"/>
      <c r="U79" s="124"/>
      <c r="V79" s="124"/>
      <c r="W79" s="124"/>
      <c r="X79" s="124"/>
      <c r="Y79" s="124"/>
    </row>
    <row r="80" spans="3:25" ht="12.75" customHeight="1">
      <c r="C80" s="124"/>
      <c r="D80" s="124"/>
      <c r="E80" s="128"/>
      <c r="F80" s="124"/>
      <c r="G80" s="128"/>
      <c r="H80" s="128"/>
      <c r="I80" s="124"/>
      <c r="J80" s="128"/>
      <c r="K80" s="127"/>
      <c r="L80" s="126"/>
      <c r="M80" s="124"/>
      <c r="N80" s="128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</row>
    <row r="81" spans="3:25" ht="12.75" customHeight="1">
      <c r="C81" s="124"/>
      <c r="D81" s="124"/>
      <c r="E81" s="124"/>
      <c r="F81" s="124"/>
      <c r="G81" s="124"/>
      <c r="H81" s="124"/>
      <c r="I81" s="124"/>
      <c r="J81" s="128"/>
      <c r="K81" s="127"/>
      <c r="L81" s="126"/>
      <c r="M81" s="124"/>
      <c r="N81" s="128"/>
      <c r="O81" s="124"/>
      <c r="P81" s="128"/>
      <c r="Q81" s="124"/>
      <c r="R81" s="128"/>
      <c r="S81" s="124"/>
      <c r="T81" s="128"/>
      <c r="U81" s="124"/>
      <c r="V81" s="124"/>
      <c r="W81" s="124"/>
      <c r="X81" s="124"/>
      <c r="Y81" s="124"/>
    </row>
    <row r="82" spans="3:25" ht="12.75" customHeight="1">
      <c r="C82" s="124"/>
      <c r="D82" s="124"/>
      <c r="E82" s="124"/>
      <c r="F82" s="124"/>
      <c r="G82" s="124"/>
      <c r="H82" s="124"/>
      <c r="I82" s="124"/>
      <c r="J82" s="124"/>
      <c r="K82" s="127"/>
      <c r="L82" s="126"/>
      <c r="M82" s="124"/>
      <c r="N82" s="128"/>
      <c r="O82" s="124"/>
      <c r="P82" s="128"/>
      <c r="Q82" s="124"/>
      <c r="R82" s="128"/>
      <c r="S82" s="124"/>
      <c r="T82" s="128"/>
      <c r="U82" s="124"/>
      <c r="V82" s="124"/>
      <c r="W82" s="124"/>
      <c r="X82" s="124"/>
      <c r="Y82" s="124"/>
    </row>
    <row r="83" spans="3:25" ht="12.75" customHeight="1">
      <c r="C83" s="124"/>
      <c r="D83" s="128"/>
      <c r="E83" s="128"/>
      <c r="F83" s="124"/>
      <c r="G83" s="128"/>
      <c r="H83" s="128"/>
      <c r="I83" s="124"/>
      <c r="J83" s="128"/>
      <c r="K83" s="127"/>
      <c r="L83" s="126"/>
      <c r="M83" s="124"/>
      <c r="N83" s="128"/>
      <c r="O83" s="124"/>
      <c r="P83" s="128"/>
      <c r="Q83" s="124"/>
      <c r="R83" s="128"/>
      <c r="S83" s="124"/>
      <c r="T83" s="128"/>
      <c r="U83" s="124"/>
      <c r="V83" s="128"/>
      <c r="W83" s="124"/>
      <c r="X83" s="124"/>
      <c r="Y83" s="124"/>
    </row>
    <row r="84" spans="3:25" ht="12.75" customHeight="1">
      <c r="C84" s="124"/>
      <c r="D84" s="128"/>
      <c r="E84" s="128"/>
      <c r="F84" s="124"/>
      <c r="G84" s="128"/>
      <c r="H84" s="128"/>
      <c r="I84" s="124"/>
      <c r="J84" s="128"/>
      <c r="K84" s="127"/>
      <c r="L84" s="126"/>
      <c r="M84" s="124"/>
      <c r="N84" s="128"/>
      <c r="O84" s="124"/>
      <c r="P84" s="128"/>
      <c r="Q84" s="124"/>
      <c r="R84" s="128"/>
      <c r="S84" s="124"/>
      <c r="T84" s="128"/>
      <c r="U84" s="124"/>
      <c r="V84" s="128"/>
      <c r="W84" s="124"/>
      <c r="X84" s="128"/>
      <c r="Y84" s="124"/>
    </row>
    <row r="85" spans="3:25" ht="12.75" customHeight="1">
      <c r="C85" s="124"/>
      <c r="D85" s="124"/>
      <c r="E85" s="124"/>
      <c r="F85" s="124"/>
      <c r="G85" s="128"/>
      <c r="H85" s="128"/>
      <c r="I85" s="124"/>
      <c r="J85" s="128"/>
      <c r="K85" s="127"/>
      <c r="L85" s="126"/>
      <c r="M85" s="124"/>
      <c r="N85" s="124"/>
      <c r="O85" s="124"/>
      <c r="P85" s="128"/>
      <c r="Q85" s="124"/>
      <c r="R85" s="128"/>
      <c r="S85" s="124"/>
      <c r="T85" s="128"/>
      <c r="U85" s="124"/>
      <c r="V85" s="124"/>
      <c r="W85" s="124"/>
      <c r="X85" s="124"/>
      <c r="Y85" s="124"/>
    </row>
    <row r="86" spans="3:25" ht="12.75" customHeight="1">
      <c r="C86" s="124"/>
      <c r="D86" s="124"/>
      <c r="E86" s="124"/>
      <c r="F86" s="124"/>
      <c r="G86" s="124"/>
      <c r="H86" s="128"/>
      <c r="I86" s="124"/>
      <c r="J86" s="128"/>
      <c r="K86" s="127"/>
      <c r="L86" s="126"/>
      <c r="M86" s="124"/>
      <c r="N86" s="128"/>
      <c r="O86" s="124"/>
      <c r="P86" s="128"/>
      <c r="Q86" s="124"/>
      <c r="R86" s="128"/>
      <c r="S86" s="124"/>
      <c r="T86" s="128"/>
      <c r="U86" s="124"/>
      <c r="V86" s="128"/>
      <c r="W86" s="124"/>
      <c r="X86" s="128"/>
      <c r="Y86" s="124"/>
    </row>
    <row r="87" spans="3:25" ht="12.75" customHeight="1">
      <c r="C87" s="124"/>
      <c r="D87" s="128"/>
      <c r="E87" s="128"/>
      <c r="F87" s="124"/>
      <c r="G87" s="128"/>
      <c r="H87" s="128"/>
      <c r="I87" s="124"/>
      <c r="J87" s="128"/>
      <c r="K87" s="127"/>
      <c r="L87" s="126"/>
      <c r="M87" s="124"/>
      <c r="N87" s="128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</row>
    <row r="88" spans="3:25" ht="12.75" customHeight="1">
      <c r="C88" s="124"/>
      <c r="D88" s="124"/>
      <c r="E88" s="124"/>
      <c r="F88" s="124"/>
      <c r="G88" s="124"/>
      <c r="H88" s="124"/>
      <c r="I88" s="124"/>
      <c r="J88" s="124"/>
      <c r="K88" s="127"/>
      <c r="L88" s="126"/>
      <c r="M88" s="124"/>
      <c r="O88" s="124"/>
      <c r="P88" s="128"/>
      <c r="Q88" s="124"/>
      <c r="R88" s="128"/>
      <c r="S88" s="124"/>
      <c r="T88" s="128"/>
      <c r="U88" s="124"/>
      <c r="V88" s="124"/>
      <c r="W88" s="124"/>
      <c r="X88" s="124"/>
      <c r="Y88" s="124"/>
    </row>
    <row r="89" spans="3:23" ht="12.75" customHeight="1">
      <c r="C89" s="124"/>
      <c r="D89" s="124"/>
      <c r="E89" s="124"/>
      <c r="F89" s="124"/>
      <c r="G89" s="124"/>
      <c r="H89" s="128"/>
      <c r="I89" s="124"/>
      <c r="J89" s="128"/>
      <c r="K89" s="127"/>
      <c r="L89" s="126"/>
      <c r="M89" s="124"/>
      <c r="O89" s="124"/>
      <c r="P89" s="128"/>
      <c r="Q89" s="124"/>
      <c r="R89" s="128"/>
      <c r="S89" s="124"/>
      <c r="T89" s="128"/>
      <c r="U89" s="124"/>
      <c r="V89" s="124"/>
      <c r="W89" s="124"/>
    </row>
    <row r="90" spans="11:12" ht="12.75" customHeight="1">
      <c r="K90" s="127"/>
      <c r="L90" s="126"/>
    </row>
    <row r="91" spans="11:12" ht="12.75" customHeight="1">
      <c r="K91" s="127"/>
      <c r="L91" s="126"/>
    </row>
    <row r="92" spans="11:12" ht="12.75">
      <c r="K92" s="127"/>
      <c r="L92" s="126"/>
    </row>
    <row r="93" spans="11:12" ht="12.75">
      <c r="K93" s="127"/>
      <c r="L93" s="126"/>
    </row>
    <row r="94" spans="11:12" ht="12.75">
      <c r="K94" s="127"/>
      <c r="L94" s="126"/>
    </row>
    <row r="95" spans="11:12" ht="12.75">
      <c r="K95" s="127"/>
      <c r="L95" s="126"/>
    </row>
    <row r="96" spans="11:12" ht="12.75">
      <c r="K96" s="127"/>
      <c r="L96" s="126"/>
    </row>
  </sheetData>
  <sheetProtection/>
  <mergeCells count="3">
    <mergeCell ref="G4:H4"/>
    <mergeCell ref="D4:E4"/>
    <mergeCell ref="A4:B4"/>
  </mergeCells>
  <printOptions/>
  <pageMargins left="0.1968503937007874" right="0.1968503937007874" top="0.984251968503937" bottom="0.984251968503937" header="0" footer="0"/>
  <pageSetup horizontalDpi="600" verticalDpi="600" orientation="portrait" paperSize="9" scale="75" r:id="rId1"/>
  <colBreaks count="1" manualBreakCount="1">
    <brk id="8" max="9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1" width="18.421875" style="129" customWidth="1"/>
    <col min="2" max="2" width="17.28125" style="130" customWidth="1"/>
    <col min="3" max="3" width="4.7109375" style="129" customWidth="1"/>
    <col min="4" max="4" width="15.57421875" style="129" customWidth="1"/>
    <col min="5" max="5" width="17.28125" style="129" customWidth="1"/>
    <col min="6" max="6" width="4.28125" style="129" customWidth="1"/>
    <col min="7" max="7" width="15.57421875" style="129" customWidth="1"/>
    <col min="8" max="8" width="17.28125" style="129" customWidth="1"/>
    <col min="9" max="16384" width="9.140625" style="129" customWidth="1"/>
  </cols>
  <sheetData>
    <row r="1" ht="15">
      <c r="A1" s="94" t="s">
        <v>400</v>
      </c>
    </row>
    <row r="2" ht="15">
      <c r="A2" s="94"/>
    </row>
    <row r="3" spans="1:8" ht="15">
      <c r="A3" s="360" t="s">
        <v>182</v>
      </c>
      <c r="B3" s="360"/>
      <c r="C3" s="131"/>
      <c r="D3" s="360" t="s">
        <v>183</v>
      </c>
      <c r="E3" s="360"/>
      <c r="F3" s="131"/>
      <c r="G3" s="360" t="s">
        <v>184</v>
      </c>
      <c r="H3" s="360"/>
    </row>
    <row r="4" spans="1:2" ht="14.25">
      <c r="A4" s="132"/>
      <c r="B4" s="133"/>
    </row>
    <row r="5" spans="1:8" ht="14.25">
      <c r="A5" s="261" t="s">
        <v>185</v>
      </c>
      <c r="B5" s="262" t="s">
        <v>101</v>
      </c>
      <c r="C5" s="180"/>
      <c r="D5" s="261" t="s">
        <v>185</v>
      </c>
      <c r="E5" s="262" t="s">
        <v>101</v>
      </c>
      <c r="F5" s="180"/>
      <c r="G5" s="261" t="s">
        <v>185</v>
      </c>
      <c r="H5" s="262" t="s">
        <v>101</v>
      </c>
    </row>
    <row r="6" spans="1:7" ht="14.25">
      <c r="A6" s="134"/>
      <c r="D6" s="134"/>
      <c r="G6" s="134"/>
    </row>
    <row r="7" spans="1:22" ht="14.25">
      <c r="A7" s="296" t="s">
        <v>140</v>
      </c>
      <c r="B7" s="297">
        <v>13452881</v>
      </c>
      <c r="C7" s="155"/>
      <c r="D7" s="296" t="s">
        <v>368</v>
      </c>
      <c r="E7" s="297">
        <v>631095</v>
      </c>
      <c r="F7" s="255"/>
      <c r="G7" s="296" t="s">
        <v>368</v>
      </c>
      <c r="H7" s="297">
        <v>661802</v>
      </c>
      <c r="I7" s="136"/>
      <c r="J7" s="135"/>
      <c r="K7" s="136"/>
      <c r="L7" s="135"/>
      <c r="M7" s="136"/>
      <c r="N7" s="135"/>
      <c r="O7" s="136"/>
      <c r="P7" s="135"/>
      <c r="Q7" s="136"/>
      <c r="R7" s="135"/>
      <c r="S7" s="136"/>
      <c r="T7" s="135"/>
      <c r="U7" s="136"/>
      <c r="V7" s="135"/>
    </row>
    <row r="8" spans="1:22" ht="14.25">
      <c r="A8" s="117" t="s">
        <v>368</v>
      </c>
      <c r="B8" s="248">
        <v>4905294</v>
      </c>
      <c r="C8" s="155"/>
      <c r="D8" s="117" t="s">
        <v>141</v>
      </c>
      <c r="E8" s="248">
        <v>277906</v>
      </c>
      <c r="F8" s="255"/>
      <c r="G8" s="117" t="s">
        <v>369</v>
      </c>
      <c r="H8" s="248">
        <v>175697</v>
      </c>
      <c r="I8" s="136"/>
      <c r="J8" s="135"/>
      <c r="K8" s="136"/>
      <c r="L8" s="135"/>
      <c r="M8" s="136"/>
      <c r="N8" s="135"/>
      <c r="O8" s="136"/>
      <c r="P8" s="135"/>
      <c r="Q8" s="136"/>
      <c r="R8" s="135"/>
      <c r="S8" s="136"/>
      <c r="T8" s="135"/>
      <c r="U8" s="136"/>
      <c r="V8" s="135"/>
    </row>
    <row r="9" spans="1:22" ht="14.25">
      <c r="A9" s="296" t="s">
        <v>204</v>
      </c>
      <c r="B9" s="297">
        <v>4556958</v>
      </c>
      <c r="C9" s="155"/>
      <c r="D9" s="296" t="s">
        <v>267</v>
      </c>
      <c r="E9" s="297">
        <v>235889</v>
      </c>
      <c r="F9" s="255"/>
      <c r="G9" s="296" t="s">
        <v>267</v>
      </c>
      <c r="H9" s="297">
        <v>82390</v>
      </c>
      <c r="I9" s="136"/>
      <c r="J9" s="135"/>
      <c r="K9" s="136"/>
      <c r="L9" s="135"/>
      <c r="M9" s="136"/>
      <c r="N9" s="135"/>
      <c r="O9" s="136"/>
      <c r="P9" s="135"/>
      <c r="Q9" s="136"/>
      <c r="R9" s="135"/>
      <c r="S9" s="136"/>
      <c r="T9" s="135"/>
      <c r="U9" s="136"/>
      <c r="V9" s="135"/>
    </row>
    <row r="10" spans="1:22" ht="14.25">
      <c r="A10" s="117" t="s">
        <v>141</v>
      </c>
      <c r="B10" s="248">
        <v>3837541</v>
      </c>
      <c r="C10" s="155"/>
      <c r="D10" s="117" t="s">
        <v>204</v>
      </c>
      <c r="E10" s="248">
        <v>190105</v>
      </c>
      <c r="F10" s="255"/>
      <c r="G10" s="117" t="s">
        <v>144</v>
      </c>
      <c r="H10" s="248">
        <v>49353</v>
      </c>
      <c r="I10" s="136"/>
      <c r="J10" s="135"/>
      <c r="K10" s="136"/>
      <c r="L10" s="135"/>
      <c r="M10" s="136"/>
      <c r="N10" s="135"/>
      <c r="O10" s="136"/>
      <c r="P10" s="135"/>
      <c r="Q10" s="136"/>
      <c r="R10" s="135"/>
      <c r="S10" s="136"/>
      <c r="T10" s="135"/>
      <c r="U10" s="136"/>
      <c r="V10" s="135"/>
    </row>
    <row r="11" spans="1:22" ht="14.25">
      <c r="A11" s="296" t="s">
        <v>142</v>
      </c>
      <c r="B11" s="297">
        <v>3819884</v>
      </c>
      <c r="C11" s="155"/>
      <c r="D11" s="296" t="s">
        <v>371</v>
      </c>
      <c r="E11" s="297">
        <v>128437</v>
      </c>
      <c r="F11" s="255"/>
      <c r="G11" s="296" t="s">
        <v>141</v>
      </c>
      <c r="H11" s="297">
        <v>23562</v>
      </c>
      <c r="I11" s="136"/>
      <c r="J11" s="135"/>
      <c r="K11" s="136"/>
      <c r="L11" s="135"/>
      <c r="M11" s="136"/>
      <c r="N11" s="135"/>
      <c r="O11" s="136"/>
      <c r="P11" s="135"/>
      <c r="Q11" s="136"/>
      <c r="R11" s="135"/>
      <c r="S11" s="136"/>
      <c r="T11" s="135"/>
      <c r="U11" s="136"/>
      <c r="V11" s="135"/>
    </row>
    <row r="12" spans="1:22" ht="14.25">
      <c r="A12" s="117" t="s">
        <v>267</v>
      </c>
      <c r="B12" s="248">
        <v>1690203</v>
      </c>
      <c r="C12" s="155"/>
      <c r="D12" s="117" t="s">
        <v>144</v>
      </c>
      <c r="E12" s="248">
        <v>98235</v>
      </c>
      <c r="F12" s="255"/>
      <c r="G12" s="117" t="s">
        <v>370</v>
      </c>
      <c r="H12" s="248">
        <v>21470</v>
      </c>
      <c r="I12" s="136"/>
      <c r="J12" s="135"/>
      <c r="K12" s="136"/>
      <c r="L12" s="135"/>
      <c r="M12" s="136"/>
      <c r="N12" s="135"/>
      <c r="O12" s="136"/>
      <c r="P12" s="135"/>
      <c r="Q12" s="136"/>
      <c r="R12" s="135"/>
      <c r="S12" s="136"/>
      <c r="T12" s="135"/>
      <c r="U12" s="136"/>
      <c r="V12" s="135"/>
    </row>
    <row r="13" spans="1:22" ht="14.25">
      <c r="A13" s="296" t="s">
        <v>143</v>
      </c>
      <c r="B13" s="297">
        <v>1666688</v>
      </c>
      <c r="C13" s="155"/>
      <c r="D13" s="296" t="s">
        <v>370</v>
      </c>
      <c r="E13" s="297">
        <v>87785</v>
      </c>
      <c r="F13" s="255"/>
      <c r="G13" s="296" t="s">
        <v>140</v>
      </c>
      <c r="H13" s="297">
        <v>10891</v>
      </c>
      <c r="I13" s="136"/>
      <c r="J13" s="135"/>
      <c r="K13" s="136"/>
      <c r="L13" s="135"/>
      <c r="M13" s="136"/>
      <c r="N13" s="135"/>
      <c r="O13" s="136"/>
      <c r="P13" s="135"/>
      <c r="Q13" s="136"/>
      <c r="R13" s="135"/>
      <c r="S13" s="136"/>
      <c r="T13" s="135"/>
      <c r="U13" s="136"/>
      <c r="V13" s="135"/>
    </row>
    <row r="14" spans="1:22" ht="14.25">
      <c r="A14" s="117" t="s">
        <v>145</v>
      </c>
      <c r="B14" s="248">
        <v>1605482</v>
      </c>
      <c r="C14" s="155"/>
      <c r="D14" s="117" t="s">
        <v>142</v>
      </c>
      <c r="E14" s="248">
        <v>54665</v>
      </c>
      <c r="F14" s="255"/>
      <c r="G14" s="117" t="s">
        <v>371</v>
      </c>
      <c r="H14" s="248">
        <v>6646</v>
      </c>
      <c r="I14" s="136"/>
      <c r="J14" s="135"/>
      <c r="K14" s="136"/>
      <c r="L14" s="135"/>
      <c r="M14" s="136"/>
      <c r="N14" s="135"/>
      <c r="O14" s="136"/>
      <c r="P14" s="135"/>
      <c r="Q14" s="136"/>
      <c r="R14" s="135"/>
      <c r="S14" s="136"/>
      <c r="T14" s="135"/>
      <c r="U14" s="136"/>
      <c r="V14" s="135"/>
    </row>
    <row r="15" spans="1:22" ht="14.25">
      <c r="A15" s="296" t="s">
        <v>378</v>
      </c>
      <c r="B15" s="297">
        <v>1523763</v>
      </c>
      <c r="C15" s="155"/>
      <c r="D15" s="296" t="s">
        <v>369</v>
      </c>
      <c r="E15" s="297">
        <v>46652</v>
      </c>
      <c r="F15" s="255"/>
      <c r="G15" s="296" t="s">
        <v>372</v>
      </c>
      <c r="H15" s="297">
        <v>1535</v>
      </c>
      <c r="I15" s="136"/>
      <c r="J15" s="135"/>
      <c r="K15" s="136"/>
      <c r="L15" s="135"/>
      <c r="M15" s="136"/>
      <c r="N15" s="135"/>
      <c r="O15" s="136"/>
      <c r="P15" s="135"/>
      <c r="Q15" s="136"/>
      <c r="R15" s="135"/>
      <c r="S15" s="136"/>
      <c r="T15" s="135"/>
      <c r="U15" s="136"/>
      <c r="V15" s="135"/>
    </row>
    <row r="16" spans="1:22" ht="14.25">
      <c r="A16" s="117" t="s">
        <v>370</v>
      </c>
      <c r="B16" s="248">
        <v>1174007</v>
      </c>
      <c r="C16" s="155"/>
      <c r="D16" s="117" t="s">
        <v>398</v>
      </c>
      <c r="E16" s="248">
        <v>35797</v>
      </c>
      <c r="F16" s="255"/>
      <c r="G16" s="117" t="s">
        <v>373</v>
      </c>
      <c r="H16" s="248">
        <v>987</v>
      </c>
      <c r="I16" s="136"/>
      <c r="J16" s="135"/>
      <c r="K16" s="136"/>
      <c r="L16" s="135"/>
      <c r="M16" s="136"/>
      <c r="N16" s="135"/>
      <c r="O16" s="136"/>
      <c r="P16" s="135"/>
      <c r="Q16" s="136"/>
      <c r="R16" s="135"/>
      <c r="S16" s="136"/>
      <c r="T16" s="135"/>
      <c r="U16" s="136"/>
      <c r="V16" s="135"/>
    </row>
    <row r="17" spans="1:22" ht="14.25">
      <c r="A17" s="296" t="s">
        <v>144</v>
      </c>
      <c r="B17" s="297">
        <v>1117421</v>
      </c>
      <c r="C17" s="155"/>
      <c r="D17" s="296" t="s">
        <v>379</v>
      </c>
      <c r="E17" s="297">
        <v>34951</v>
      </c>
      <c r="F17" s="255"/>
      <c r="G17" s="296" t="s">
        <v>374</v>
      </c>
      <c r="H17" s="297">
        <v>742</v>
      </c>
      <c r="I17" s="136"/>
      <c r="J17" s="135"/>
      <c r="K17" s="136"/>
      <c r="L17" s="135"/>
      <c r="M17" s="136"/>
      <c r="N17" s="135"/>
      <c r="O17" s="136"/>
      <c r="P17" s="135"/>
      <c r="Q17" s="136"/>
      <c r="R17" s="135"/>
      <c r="S17" s="136"/>
      <c r="T17" s="135"/>
      <c r="U17" s="136"/>
      <c r="V17" s="135"/>
    </row>
    <row r="18" spans="1:22" ht="14.25">
      <c r="A18" s="117" t="s">
        <v>379</v>
      </c>
      <c r="B18" s="248">
        <v>699476</v>
      </c>
      <c r="C18" s="155"/>
      <c r="D18" s="117" t="s">
        <v>380</v>
      </c>
      <c r="E18" s="248">
        <v>29338</v>
      </c>
      <c r="F18" s="255"/>
      <c r="G18" s="117" t="s">
        <v>142</v>
      </c>
      <c r="H18" s="248">
        <v>639</v>
      </c>
      <c r="I18" s="136"/>
      <c r="J18" s="135"/>
      <c r="K18" s="136"/>
      <c r="L18" s="135"/>
      <c r="M18" s="136"/>
      <c r="N18" s="135"/>
      <c r="O18" s="136"/>
      <c r="P18" s="135"/>
      <c r="Q18" s="136"/>
      <c r="R18" s="135"/>
      <c r="S18" s="136"/>
      <c r="T18" s="135"/>
      <c r="U18" s="136"/>
      <c r="V18" s="135"/>
    </row>
    <row r="19" spans="1:22" ht="14.25">
      <c r="A19" s="296" t="s">
        <v>369</v>
      </c>
      <c r="B19" s="297">
        <v>614324</v>
      </c>
      <c r="C19" s="155"/>
      <c r="D19" s="296" t="s">
        <v>382</v>
      </c>
      <c r="E19" s="297">
        <v>28823</v>
      </c>
      <c r="F19" s="255"/>
      <c r="G19" s="296" t="s">
        <v>375</v>
      </c>
      <c r="H19" s="297">
        <v>392</v>
      </c>
      <c r="I19" s="136"/>
      <c r="J19" s="135"/>
      <c r="K19" s="136"/>
      <c r="L19" s="135"/>
      <c r="M19" s="136"/>
      <c r="N19" s="135"/>
      <c r="O19" s="136"/>
      <c r="P19" s="135"/>
      <c r="Q19" s="136"/>
      <c r="R19" s="135"/>
      <c r="S19" s="136"/>
      <c r="T19" s="135"/>
      <c r="U19" s="136"/>
      <c r="V19" s="135"/>
    </row>
    <row r="20" spans="1:22" ht="14.25">
      <c r="A20" s="117" t="s">
        <v>146</v>
      </c>
      <c r="B20" s="248">
        <v>603911</v>
      </c>
      <c r="C20" s="155"/>
      <c r="D20" s="117" t="s">
        <v>396</v>
      </c>
      <c r="E20" s="248">
        <v>28410</v>
      </c>
      <c r="F20" s="255"/>
      <c r="G20" s="117" t="s">
        <v>376</v>
      </c>
      <c r="H20" s="248">
        <v>369</v>
      </c>
      <c r="I20" s="136"/>
      <c r="J20" s="135"/>
      <c r="K20" s="136"/>
      <c r="L20" s="135"/>
      <c r="M20" s="136"/>
      <c r="N20" s="135"/>
      <c r="O20" s="136"/>
      <c r="P20" s="135"/>
      <c r="Q20" s="136"/>
      <c r="R20" s="135"/>
      <c r="S20" s="136"/>
      <c r="T20" s="135"/>
      <c r="U20" s="136"/>
      <c r="V20" s="135"/>
    </row>
    <row r="21" spans="1:22" ht="14.25">
      <c r="A21" s="296" t="s">
        <v>265</v>
      </c>
      <c r="B21" s="297">
        <v>555755</v>
      </c>
      <c r="C21" s="155"/>
      <c r="D21" s="296" t="s">
        <v>372</v>
      </c>
      <c r="E21" s="297">
        <v>21543</v>
      </c>
      <c r="F21" s="255"/>
      <c r="G21" s="296" t="s">
        <v>377</v>
      </c>
      <c r="H21" s="297">
        <v>314</v>
      </c>
      <c r="I21" s="136"/>
      <c r="J21" s="135"/>
      <c r="K21" s="136"/>
      <c r="L21" s="135"/>
      <c r="M21" s="136"/>
      <c r="N21" s="135"/>
      <c r="O21" s="136"/>
      <c r="P21" s="135"/>
      <c r="Q21" s="136"/>
      <c r="R21" s="135"/>
      <c r="S21" s="136"/>
      <c r="T21" s="135"/>
      <c r="U21" s="136"/>
      <c r="V21" s="135"/>
    </row>
    <row r="22" spans="1:22" ht="22.5">
      <c r="A22" s="117" t="s">
        <v>371</v>
      </c>
      <c r="B22" s="248">
        <v>551336</v>
      </c>
      <c r="C22" s="155"/>
      <c r="D22" s="117" t="s">
        <v>384</v>
      </c>
      <c r="E22" s="248">
        <v>20953</v>
      </c>
      <c r="F22" s="255"/>
      <c r="G22" s="147" t="s">
        <v>186</v>
      </c>
      <c r="H22" s="248">
        <f>H24-SUM(H7:H21)</f>
        <v>787</v>
      </c>
      <c r="I22" s="136"/>
      <c r="J22" s="135"/>
      <c r="K22" s="136"/>
      <c r="L22" s="135"/>
      <c r="M22" s="136"/>
      <c r="N22" s="135"/>
      <c r="O22" s="136"/>
      <c r="P22" s="135"/>
      <c r="Q22" s="136"/>
      <c r="R22" s="135"/>
      <c r="S22" s="136"/>
      <c r="T22" s="135"/>
      <c r="U22" s="136"/>
      <c r="V22" s="135"/>
    </row>
    <row r="23" spans="1:22" ht="14.25">
      <c r="A23" s="296" t="s">
        <v>380</v>
      </c>
      <c r="B23" s="297">
        <v>529563</v>
      </c>
      <c r="C23" s="155"/>
      <c r="D23" s="296" t="s">
        <v>395</v>
      </c>
      <c r="E23" s="297">
        <v>20535</v>
      </c>
      <c r="F23" s="255"/>
      <c r="G23" s="147"/>
      <c r="H23" s="248"/>
      <c r="I23" s="136"/>
      <c r="J23" s="135"/>
      <c r="K23" s="136"/>
      <c r="L23" s="135"/>
      <c r="M23" s="136"/>
      <c r="N23" s="135"/>
      <c r="O23" s="136"/>
      <c r="P23" s="135"/>
      <c r="Q23" s="136"/>
      <c r="R23" s="135"/>
      <c r="S23" s="136"/>
      <c r="T23" s="135"/>
      <c r="U23" s="136"/>
      <c r="V23" s="135"/>
    </row>
    <row r="24" spans="1:22" ht="14.25">
      <c r="A24" s="117" t="s">
        <v>381</v>
      </c>
      <c r="B24" s="248">
        <v>511257</v>
      </c>
      <c r="C24" s="155"/>
      <c r="D24" s="117" t="s">
        <v>392</v>
      </c>
      <c r="E24" s="248">
        <v>19345</v>
      </c>
      <c r="F24" s="255"/>
      <c r="G24" s="259" t="s">
        <v>102</v>
      </c>
      <c r="H24" s="260">
        <v>1037576</v>
      </c>
      <c r="I24" s="136"/>
      <c r="J24" s="135"/>
      <c r="K24" s="136"/>
      <c r="L24" s="135"/>
      <c r="M24" s="136"/>
      <c r="N24" s="135"/>
      <c r="O24" s="136"/>
      <c r="P24" s="135"/>
      <c r="Q24" s="136"/>
      <c r="R24" s="135"/>
      <c r="S24" s="136"/>
      <c r="T24" s="135"/>
      <c r="U24" s="136"/>
      <c r="V24" s="135"/>
    </row>
    <row r="25" spans="1:22" ht="12.75" customHeight="1">
      <c r="A25" s="296" t="s">
        <v>382</v>
      </c>
      <c r="B25" s="238">
        <v>477028</v>
      </c>
      <c r="C25" s="155"/>
      <c r="D25" s="296" t="s">
        <v>376</v>
      </c>
      <c r="E25" s="238">
        <v>9619</v>
      </c>
      <c r="F25" s="255"/>
      <c r="G25" s="256"/>
      <c r="H25" s="256"/>
      <c r="I25" s="136"/>
      <c r="J25" s="135"/>
      <c r="K25" s="136"/>
      <c r="L25" s="135"/>
      <c r="M25" s="136"/>
      <c r="N25" s="135"/>
      <c r="O25" s="136"/>
      <c r="P25" s="135"/>
      <c r="Q25" s="136"/>
      <c r="R25" s="135"/>
      <c r="S25" s="136"/>
      <c r="T25" s="135"/>
      <c r="U25" s="136"/>
      <c r="V25" s="135"/>
    </row>
    <row r="26" spans="1:22" ht="14.25">
      <c r="A26" s="117" t="s">
        <v>376</v>
      </c>
      <c r="B26" s="95">
        <v>432960</v>
      </c>
      <c r="C26" s="155"/>
      <c r="D26" s="117" t="s">
        <v>140</v>
      </c>
      <c r="E26" s="95">
        <v>8324</v>
      </c>
      <c r="F26" s="255"/>
      <c r="G26" s="256"/>
      <c r="H26" s="256"/>
      <c r="I26" s="136"/>
      <c r="J26" s="135"/>
      <c r="K26" s="136"/>
      <c r="L26" s="135"/>
      <c r="M26" s="136"/>
      <c r="N26" s="135"/>
      <c r="O26" s="136"/>
      <c r="P26" s="135"/>
      <c r="Q26" s="136"/>
      <c r="R26" s="135"/>
      <c r="S26" s="136"/>
      <c r="T26" s="135"/>
      <c r="U26" s="136"/>
      <c r="V26" s="135"/>
    </row>
    <row r="27" spans="1:22" ht="14.25">
      <c r="A27" s="296" t="s">
        <v>377</v>
      </c>
      <c r="B27" s="238">
        <v>428139</v>
      </c>
      <c r="C27" s="155"/>
      <c r="D27" s="296" t="s">
        <v>399</v>
      </c>
      <c r="E27" s="238">
        <v>2933</v>
      </c>
      <c r="F27" s="255"/>
      <c r="G27" s="256"/>
      <c r="H27" s="256"/>
      <c r="I27" s="136"/>
      <c r="J27" s="135"/>
      <c r="K27" s="136"/>
      <c r="L27" s="135"/>
      <c r="M27" s="136"/>
      <c r="N27" s="135"/>
      <c r="O27" s="136"/>
      <c r="P27" s="135"/>
      <c r="Q27" s="136"/>
      <c r="R27" s="135"/>
      <c r="S27" s="136"/>
      <c r="T27" s="135"/>
      <c r="U27" s="136"/>
      <c r="V27" s="135"/>
    </row>
    <row r="28" spans="1:22" ht="14.25">
      <c r="A28" s="117" t="s">
        <v>383</v>
      </c>
      <c r="B28" s="95">
        <v>414014</v>
      </c>
      <c r="C28" s="155"/>
      <c r="D28" s="117" t="s">
        <v>375</v>
      </c>
      <c r="E28" s="95">
        <v>2375</v>
      </c>
      <c r="F28" s="255"/>
      <c r="G28" s="256"/>
      <c r="H28" s="256"/>
      <c r="I28" s="136"/>
      <c r="J28" s="135"/>
      <c r="K28" s="136"/>
      <c r="L28" s="135"/>
      <c r="M28" s="136"/>
      <c r="N28" s="135"/>
      <c r="O28" s="136"/>
      <c r="P28" s="135"/>
      <c r="Q28" s="136"/>
      <c r="R28" s="135"/>
      <c r="S28" s="136"/>
      <c r="T28" s="135"/>
      <c r="U28" s="136"/>
      <c r="V28" s="135"/>
    </row>
    <row r="29" spans="1:22" ht="14.25">
      <c r="A29" s="296" t="s">
        <v>147</v>
      </c>
      <c r="B29" s="297">
        <v>390737</v>
      </c>
      <c r="C29" s="155"/>
      <c r="D29" s="296" t="s">
        <v>377</v>
      </c>
      <c r="E29" s="297">
        <v>1816</v>
      </c>
      <c r="F29" s="255"/>
      <c r="G29" s="256"/>
      <c r="H29" s="256"/>
      <c r="I29" s="136"/>
      <c r="J29" s="135"/>
      <c r="K29" s="136"/>
      <c r="L29" s="135"/>
      <c r="M29" s="136"/>
      <c r="N29" s="135"/>
      <c r="O29" s="136"/>
      <c r="P29" s="135"/>
      <c r="Q29" s="136"/>
      <c r="R29" s="135"/>
      <c r="S29" s="136"/>
      <c r="T29" s="135"/>
      <c r="U29" s="136"/>
      <c r="V29" s="135"/>
    </row>
    <row r="30" spans="1:22" ht="14.25">
      <c r="A30" s="147" t="s">
        <v>384</v>
      </c>
      <c r="B30" s="248">
        <v>377603</v>
      </c>
      <c r="C30" s="155"/>
      <c r="D30" s="147" t="s">
        <v>381</v>
      </c>
      <c r="E30" s="248">
        <v>1435</v>
      </c>
      <c r="F30" s="255"/>
      <c r="G30" s="256"/>
      <c r="H30" s="256"/>
      <c r="I30" s="136"/>
      <c r="J30" s="135"/>
      <c r="K30" s="136"/>
      <c r="L30" s="135"/>
      <c r="M30" s="136"/>
      <c r="N30" s="135"/>
      <c r="O30" s="136"/>
      <c r="P30" s="135"/>
      <c r="Q30" s="136"/>
      <c r="R30" s="135"/>
      <c r="S30" s="136"/>
      <c r="T30" s="135"/>
      <c r="U30" s="136"/>
      <c r="V30" s="135"/>
    </row>
    <row r="31" spans="1:22" ht="14.25">
      <c r="A31" s="296" t="s">
        <v>373</v>
      </c>
      <c r="B31" s="297">
        <v>357109</v>
      </c>
      <c r="C31" s="155"/>
      <c r="D31" s="296" t="s">
        <v>143</v>
      </c>
      <c r="E31" s="297">
        <v>890</v>
      </c>
      <c r="F31" s="255"/>
      <c r="G31" s="256"/>
      <c r="H31" s="256"/>
      <c r="I31" s="136"/>
      <c r="J31" s="135"/>
      <c r="K31" s="136"/>
      <c r="L31" s="135"/>
      <c r="M31" s="136"/>
      <c r="N31" s="135"/>
      <c r="O31" s="136"/>
      <c r="P31" s="135"/>
      <c r="Q31" s="136"/>
      <c r="R31" s="135"/>
      <c r="S31" s="136"/>
      <c r="T31" s="135"/>
      <c r="U31" s="136"/>
      <c r="V31" s="135"/>
    </row>
    <row r="32" spans="1:22" ht="14.25">
      <c r="A32" s="117" t="s">
        <v>385</v>
      </c>
      <c r="B32" s="248">
        <v>349489</v>
      </c>
      <c r="C32" s="155"/>
      <c r="D32" s="117" t="s">
        <v>389</v>
      </c>
      <c r="E32" s="248">
        <v>634</v>
      </c>
      <c r="F32" s="255"/>
      <c r="G32" s="256"/>
      <c r="H32" s="256"/>
      <c r="I32" s="136"/>
      <c r="J32" s="135"/>
      <c r="K32" s="136"/>
      <c r="L32" s="135"/>
      <c r="M32" s="136"/>
      <c r="N32" s="135"/>
      <c r="O32" s="136"/>
      <c r="P32" s="135"/>
      <c r="Q32" s="136"/>
      <c r="R32" s="135"/>
      <c r="S32" s="136"/>
      <c r="T32" s="135"/>
      <c r="U32" s="136"/>
      <c r="V32" s="135"/>
    </row>
    <row r="33" spans="1:22" ht="14.25">
      <c r="A33" s="296" t="s">
        <v>386</v>
      </c>
      <c r="B33" s="297">
        <v>323678</v>
      </c>
      <c r="C33" s="155"/>
      <c r="D33" s="296" t="s">
        <v>394</v>
      </c>
      <c r="E33" s="297">
        <v>570</v>
      </c>
      <c r="F33" s="255"/>
      <c r="G33" s="256"/>
      <c r="H33" s="256"/>
      <c r="I33" s="136"/>
      <c r="J33" s="135"/>
      <c r="K33" s="136"/>
      <c r="L33" s="135"/>
      <c r="M33" s="136"/>
      <c r="N33" s="135"/>
      <c r="O33" s="136"/>
      <c r="P33" s="135"/>
      <c r="Q33" s="136"/>
      <c r="R33" s="135"/>
      <c r="S33" s="136"/>
      <c r="T33" s="135"/>
      <c r="U33" s="136"/>
      <c r="V33" s="135"/>
    </row>
    <row r="34" spans="1:22" ht="14.25">
      <c r="A34" s="117" t="s">
        <v>387</v>
      </c>
      <c r="B34" s="248">
        <v>287768</v>
      </c>
      <c r="C34" s="155"/>
      <c r="D34" s="147" t="s">
        <v>373</v>
      </c>
      <c r="E34" s="248">
        <v>323</v>
      </c>
      <c r="F34" s="255"/>
      <c r="G34" s="255"/>
      <c r="H34" s="255"/>
      <c r="I34" s="136"/>
      <c r="J34" s="135"/>
      <c r="K34" s="136"/>
      <c r="L34" s="135"/>
      <c r="M34" s="136"/>
      <c r="N34" s="135"/>
      <c r="O34" s="136"/>
      <c r="P34" s="135"/>
      <c r="Q34" s="136"/>
      <c r="R34" s="135"/>
      <c r="S34" s="135"/>
      <c r="T34" s="135"/>
      <c r="U34" s="135"/>
      <c r="V34" s="135"/>
    </row>
    <row r="35" spans="1:22" ht="22.5">
      <c r="A35" s="296" t="s">
        <v>388</v>
      </c>
      <c r="B35" s="297">
        <v>255386</v>
      </c>
      <c r="C35" s="155"/>
      <c r="D35" s="300" t="s">
        <v>186</v>
      </c>
      <c r="E35" s="297">
        <f>E37-SUM(E7:E34)</f>
        <v>493</v>
      </c>
      <c r="F35" s="255"/>
      <c r="G35" s="256"/>
      <c r="H35" s="256"/>
      <c r="I35" s="136"/>
      <c r="J35" s="135"/>
      <c r="K35" s="136"/>
      <c r="L35" s="135"/>
      <c r="M35" s="136"/>
      <c r="N35" s="135"/>
      <c r="O35" s="136"/>
      <c r="P35" s="135"/>
      <c r="Q35" s="136"/>
      <c r="R35" s="135"/>
      <c r="S35" s="136"/>
      <c r="T35" s="135"/>
      <c r="U35" s="136"/>
      <c r="V35" s="135"/>
    </row>
    <row r="36" spans="1:22" ht="14.25">
      <c r="A36" s="117" t="s">
        <v>374</v>
      </c>
      <c r="B36" s="248">
        <v>231231</v>
      </c>
      <c r="C36" s="155"/>
      <c r="D36" s="147"/>
      <c r="E36" s="248"/>
      <c r="F36" s="255"/>
      <c r="G36" s="256"/>
      <c r="H36" s="256"/>
      <c r="I36" s="136"/>
      <c r="J36" s="135"/>
      <c r="K36" s="136"/>
      <c r="L36" s="135"/>
      <c r="M36" s="136"/>
      <c r="N36" s="135"/>
      <c r="O36" s="136"/>
      <c r="P36" s="135"/>
      <c r="Q36" s="136"/>
      <c r="R36" s="135"/>
      <c r="S36" s="136"/>
      <c r="T36" s="135"/>
      <c r="U36" s="136"/>
      <c r="V36" s="135"/>
    </row>
    <row r="37" spans="1:22" ht="14.25">
      <c r="A37" s="296" t="s">
        <v>150</v>
      </c>
      <c r="B37" s="238">
        <v>184039</v>
      </c>
      <c r="C37" s="155"/>
      <c r="D37" s="259" t="s">
        <v>103</v>
      </c>
      <c r="E37" s="260">
        <v>2019876</v>
      </c>
      <c r="F37" s="255"/>
      <c r="G37" s="255"/>
      <c r="H37" s="256"/>
      <c r="I37" s="136"/>
      <c r="J37" s="135"/>
      <c r="K37" s="136"/>
      <c r="L37" s="135"/>
      <c r="M37" s="136"/>
      <c r="N37" s="135"/>
      <c r="O37" s="136"/>
      <c r="P37" s="135"/>
      <c r="Q37" s="136"/>
      <c r="R37" s="135"/>
      <c r="S37" s="135"/>
      <c r="T37" s="135"/>
      <c r="U37" s="135"/>
      <c r="V37" s="135"/>
    </row>
    <row r="38" spans="1:22" ht="14.25">
      <c r="A38" s="117" t="s">
        <v>389</v>
      </c>
      <c r="B38" s="95">
        <v>174816</v>
      </c>
      <c r="C38" s="155"/>
      <c r="D38" s="347"/>
      <c r="E38" s="348"/>
      <c r="F38" s="255"/>
      <c r="G38" s="256"/>
      <c r="H38" s="256"/>
      <c r="I38" s="136"/>
      <c r="J38" s="135"/>
      <c r="K38" s="136"/>
      <c r="L38" s="135"/>
      <c r="M38" s="136"/>
      <c r="N38" s="135"/>
      <c r="O38" s="136"/>
      <c r="P38" s="135"/>
      <c r="Q38" s="136"/>
      <c r="R38" s="135"/>
      <c r="S38" s="136"/>
      <c r="T38" s="135"/>
      <c r="U38" s="136"/>
      <c r="V38" s="135"/>
    </row>
    <row r="39" spans="1:22" ht="14.25">
      <c r="A39" s="296" t="s">
        <v>390</v>
      </c>
      <c r="B39" s="238">
        <v>171562</v>
      </c>
      <c r="C39" s="155"/>
      <c r="D39" s="132"/>
      <c r="E39" s="132"/>
      <c r="F39" s="255"/>
      <c r="G39" s="256"/>
      <c r="H39" s="256"/>
      <c r="I39" s="136"/>
      <c r="J39" s="135"/>
      <c r="K39" s="136"/>
      <c r="L39" s="135"/>
      <c r="M39" s="136"/>
      <c r="N39" s="135"/>
      <c r="O39" s="136"/>
      <c r="P39" s="135"/>
      <c r="Q39" s="136"/>
      <c r="R39" s="135"/>
      <c r="S39" s="136"/>
      <c r="T39" s="135"/>
      <c r="U39" s="136"/>
      <c r="V39" s="135"/>
    </row>
    <row r="40" spans="1:22" ht="14.25">
      <c r="A40" s="117" t="s">
        <v>189</v>
      </c>
      <c r="B40" s="95">
        <v>171209</v>
      </c>
      <c r="C40" s="155"/>
      <c r="F40" s="255"/>
      <c r="G40" s="256"/>
      <c r="H40" s="256"/>
      <c r="I40" s="136"/>
      <c r="J40" s="135"/>
      <c r="K40" s="136"/>
      <c r="L40" s="135"/>
      <c r="M40" s="136"/>
      <c r="N40" s="135"/>
      <c r="O40" s="136"/>
      <c r="P40" s="135"/>
      <c r="Q40" s="136"/>
      <c r="R40" s="135"/>
      <c r="S40" s="136"/>
      <c r="T40" s="135"/>
      <c r="U40" s="136"/>
      <c r="V40" s="135"/>
    </row>
    <row r="41" spans="1:22" ht="14.25">
      <c r="A41" s="296" t="s">
        <v>149</v>
      </c>
      <c r="B41" s="297">
        <v>166677</v>
      </c>
      <c r="C41" s="155"/>
      <c r="F41" s="255"/>
      <c r="G41" s="256"/>
      <c r="H41" s="256"/>
      <c r="I41" s="136"/>
      <c r="J41" s="135"/>
      <c r="K41" s="136"/>
      <c r="L41" s="135"/>
      <c r="M41" s="136"/>
      <c r="N41" s="135"/>
      <c r="O41" s="136"/>
      <c r="P41" s="135"/>
      <c r="Q41" s="136"/>
      <c r="R41" s="135"/>
      <c r="S41" s="136"/>
      <c r="T41" s="135"/>
      <c r="U41" s="136"/>
      <c r="V41" s="135"/>
    </row>
    <row r="42" spans="1:22" ht="14.25">
      <c r="A42" s="147" t="s">
        <v>203</v>
      </c>
      <c r="B42" s="248">
        <v>151225</v>
      </c>
      <c r="C42" s="155"/>
      <c r="F42" s="155"/>
      <c r="G42" s="156"/>
      <c r="H42" s="156"/>
      <c r="I42" s="136"/>
      <c r="J42" s="135"/>
      <c r="K42" s="136"/>
      <c r="L42" s="135"/>
      <c r="M42" s="136"/>
      <c r="N42" s="135"/>
      <c r="O42" s="136"/>
      <c r="P42" s="135"/>
      <c r="Q42" s="136"/>
      <c r="R42" s="135"/>
      <c r="S42" s="136"/>
      <c r="T42" s="135"/>
      <c r="U42" s="136"/>
      <c r="V42" s="135"/>
    </row>
    <row r="43" spans="1:22" ht="14.25">
      <c r="A43" s="300" t="s">
        <v>391</v>
      </c>
      <c r="B43" s="297">
        <v>131103</v>
      </c>
      <c r="C43" s="155"/>
      <c r="D43" s="155"/>
      <c r="E43" s="155"/>
      <c r="F43" s="155"/>
      <c r="G43" s="155"/>
      <c r="H43" s="155"/>
      <c r="I43" s="136"/>
      <c r="J43" s="135"/>
      <c r="K43" s="136"/>
      <c r="L43" s="135"/>
      <c r="M43" s="136"/>
      <c r="N43" s="135"/>
      <c r="O43" s="136"/>
      <c r="P43" s="135"/>
      <c r="Q43" s="136"/>
      <c r="R43" s="135"/>
      <c r="S43" s="136"/>
      <c r="T43" s="135"/>
      <c r="U43" s="136"/>
      <c r="V43" s="135"/>
    </row>
    <row r="44" spans="1:22" ht="14.25">
      <c r="A44" s="147" t="s">
        <v>392</v>
      </c>
      <c r="B44" s="248">
        <v>118010</v>
      </c>
      <c r="C44" s="155"/>
      <c r="D44" s="156"/>
      <c r="E44" s="156"/>
      <c r="F44" s="155"/>
      <c r="G44" s="156"/>
      <c r="H44" s="155"/>
      <c r="I44" s="135"/>
      <c r="J44" s="135"/>
      <c r="K44" s="136"/>
      <c r="L44" s="135"/>
      <c r="M44" s="136"/>
      <c r="N44" s="135"/>
      <c r="O44" s="136"/>
      <c r="P44" s="135"/>
      <c r="Q44" s="136"/>
      <c r="R44" s="135"/>
      <c r="S44" s="136"/>
      <c r="T44" s="135"/>
      <c r="U44" s="136"/>
      <c r="V44" s="135"/>
    </row>
    <row r="45" spans="1:22" ht="14.25">
      <c r="A45" s="300" t="s">
        <v>393</v>
      </c>
      <c r="B45" s="297">
        <v>114398</v>
      </c>
      <c r="C45" s="155"/>
      <c r="D45" s="156"/>
      <c r="E45" s="155"/>
      <c r="F45" s="155"/>
      <c r="G45" s="155"/>
      <c r="H45" s="155"/>
      <c r="I45" s="136"/>
      <c r="J45" s="135"/>
      <c r="K45" s="136"/>
      <c r="L45" s="135"/>
      <c r="M45" s="136"/>
      <c r="N45" s="135"/>
      <c r="O45" s="136"/>
      <c r="P45" s="135"/>
      <c r="Q45" s="136"/>
      <c r="R45" s="135"/>
      <c r="S45" s="135"/>
      <c r="T45" s="135"/>
      <c r="U45" s="135"/>
      <c r="V45" s="135"/>
    </row>
    <row r="46" spans="1:22" ht="14.25">
      <c r="A46" s="147" t="s">
        <v>394</v>
      </c>
      <c r="B46" s="248">
        <v>113895</v>
      </c>
      <c r="C46" s="155"/>
      <c r="D46" s="155"/>
      <c r="E46" s="155"/>
      <c r="F46" s="155"/>
      <c r="G46" s="156"/>
      <c r="H46" s="156"/>
      <c r="I46" s="136"/>
      <c r="J46" s="135"/>
      <c r="K46" s="136"/>
      <c r="L46" s="135"/>
      <c r="M46" s="136"/>
      <c r="N46" s="135"/>
      <c r="O46" s="136"/>
      <c r="P46" s="135"/>
      <c r="Q46" s="136"/>
      <c r="R46" s="135"/>
      <c r="S46" s="135"/>
      <c r="T46" s="135"/>
      <c r="U46" s="135"/>
      <c r="V46" s="135"/>
    </row>
    <row r="47" spans="1:22" ht="14.25">
      <c r="A47" s="300" t="s">
        <v>395</v>
      </c>
      <c r="B47" s="297">
        <v>106745</v>
      </c>
      <c r="C47" s="155"/>
      <c r="D47" s="155"/>
      <c r="E47" s="155"/>
      <c r="F47" s="155"/>
      <c r="G47" s="155"/>
      <c r="H47" s="155"/>
      <c r="I47" s="136"/>
      <c r="J47" s="135"/>
      <c r="K47" s="136"/>
      <c r="L47" s="135"/>
      <c r="M47" s="136"/>
      <c r="N47" s="135"/>
      <c r="O47" s="136"/>
      <c r="P47" s="135"/>
      <c r="Q47" s="135"/>
      <c r="R47" s="135"/>
      <c r="S47" s="135"/>
      <c r="T47" s="135"/>
      <c r="U47" s="135"/>
      <c r="V47" s="135"/>
    </row>
    <row r="48" spans="1:22" ht="14.25">
      <c r="A48" s="147" t="s">
        <v>396</v>
      </c>
      <c r="B48" s="248">
        <v>100338</v>
      </c>
      <c r="C48" s="155"/>
      <c r="D48" s="155"/>
      <c r="E48" s="155"/>
      <c r="F48" s="155"/>
      <c r="G48" s="155"/>
      <c r="H48" s="156"/>
      <c r="I48" s="135"/>
      <c r="J48" s="135"/>
      <c r="K48" s="136"/>
      <c r="L48" s="135"/>
      <c r="M48" s="136"/>
      <c r="N48" s="135"/>
      <c r="O48" s="135"/>
      <c r="P48" s="135"/>
      <c r="Q48" s="135"/>
      <c r="R48" s="135"/>
      <c r="S48" s="135"/>
      <c r="T48" s="135"/>
      <c r="U48" s="135"/>
      <c r="V48" s="135"/>
    </row>
    <row r="49" spans="1:22" ht="14.25">
      <c r="A49" s="300" t="s">
        <v>397</v>
      </c>
      <c r="B49" s="297">
        <v>77241</v>
      </c>
      <c r="C49" s="155"/>
      <c r="D49" s="155"/>
      <c r="E49" s="155"/>
      <c r="F49" s="155"/>
      <c r="G49" s="155"/>
      <c r="H49" s="155"/>
      <c r="I49" s="135"/>
      <c r="J49" s="135"/>
      <c r="K49" s="136"/>
      <c r="L49" s="135"/>
      <c r="M49" s="136"/>
      <c r="N49" s="135"/>
      <c r="O49" s="135"/>
      <c r="P49" s="135"/>
      <c r="Q49" s="135"/>
      <c r="R49" s="135"/>
      <c r="S49" s="136"/>
      <c r="T49" s="135"/>
      <c r="U49" s="136"/>
      <c r="V49" s="135"/>
    </row>
    <row r="50" spans="1:22" ht="14.25">
      <c r="A50" s="147" t="s">
        <v>186</v>
      </c>
      <c r="B50" s="126">
        <f>B52-SUM(B7:B49)</f>
        <v>650313</v>
      </c>
      <c r="C50" s="155"/>
      <c r="D50" s="155"/>
      <c r="E50" s="155"/>
      <c r="F50" s="155"/>
      <c r="G50" s="155"/>
      <c r="H50" s="155"/>
      <c r="I50" s="135"/>
      <c r="J50" s="135"/>
      <c r="K50" s="136"/>
      <c r="L50" s="135"/>
      <c r="M50" s="136"/>
      <c r="N50" s="135"/>
      <c r="O50" s="136"/>
      <c r="P50" s="135"/>
      <c r="Q50" s="136"/>
      <c r="R50" s="135"/>
      <c r="S50" s="135"/>
      <c r="T50" s="135"/>
      <c r="U50" s="135"/>
      <c r="V50" s="135"/>
    </row>
    <row r="51" spans="1:8" ht="14.25">
      <c r="A51" s="96"/>
      <c r="B51" s="120"/>
      <c r="C51" s="149"/>
      <c r="D51" s="149"/>
      <c r="E51" s="149"/>
      <c r="F51" s="149"/>
      <c r="G51" s="149"/>
      <c r="H51" s="149"/>
    </row>
    <row r="52" spans="1:8" ht="14.25">
      <c r="A52" s="263" t="s">
        <v>104</v>
      </c>
      <c r="B52" s="264">
        <v>50172457</v>
      </c>
      <c r="C52" s="149"/>
      <c r="D52" s="149"/>
      <c r="E52" s="149"/>
      <c r="F52" s="149"/>
      <c r="G52" s="149"/>
      <c r="H52" s="149"/>
    </row>
    <row r="53" spans="1:8" ht="14.25">
      <c r="A53" s="163" t="s">
        <v>77</v>
      </c>
      <c r="B53" s="158"/>
      <c r="C53" s="114"/>
      <c r="D53" s="114"/>
      <c r="E53" s="114"/>
      <c r="F53" s="114"/>
      <c r="G53" s="114"/>
      <c r="H53" s="114"/>
    </row>
  </sheetData>
  <sheetProtection/>
  <mergeCells count="3">
    <mergeCell ref="A3:B3"/>
    <mergeCell ref="D3:E3"/>
    <mergeCell ref="G3:H3"/>
  </mergeCells>
  <printOptions/>
  <pageMargins left="0.1968503937007874" right="0.1968503937007874" top="0.984251968503937" bottom="0.984251968503937" header="0" footer="0"/>
  <pageSetup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1" width="28.421875" style="95" customWidth="1"/>
    <col min="2" max="5" width="11.421875" style="95" hidden="1" customWidth="1"/>
    <col min="6" max="17" width="11.421875" style="95" customWidth="1"/>
    <col min="18" max="18" width="10.57421875" style="95" customWidth="1"/>
    <col min="19" max="19" width="15.7109375" style="95" customWidth="1"/>
    <col min="20" max="16384" width="9.140625" style="95" customWidth="1"/>
  </cols>
  <sheetData>
    <row r="1" spans="1:4" ht="15">
      <c r="A1" s="94" t="s">
        <v>235</v>
      </c>
      <c r="B1" s="94"/>
      <c r="C1" s="94"/>
      <c r="D1" s="94"/>
    </row>
    <row r="2" spans="1:4" ht="15">
      <c r="A2" s="94"/>
      <c r="B2" s="94"/>
      <c r="C2" s="94"/>
      <c r="D2" s="94"/>
    </row>
    <row r="3" spans="1:18" ht="12.75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61" t="s">
        <v>236</v>
      </c>
    </row>
    <row r="4" spans="1:18" ht="12.75">
      <c r="A4" s="304" t="s">
        <v>42</v>
      </c>
      <c r="B4" s="305">
        <v>2003</v>
      </c>
      <c r="C4" s="305">
        <v>2004</v>
      </c>
      <c r="D4" s="305">
        <v>2005</v>
      </c>
      <c r="E4" s="305">
        <v>2006</v>
      </c>
      <c r="F4" s="305">
        <v>2007</v>
      </c>
      <c r="G4" s="305">
        <v>2008</v>
      </c>
      <c r="H4" s="305">
        <v>2009</v>
      </c>
      <c r="I4" s="305">
        <v>2010</v>
      </c>
      <c r="J4" s="305">
        <v>2011</v>
      </c>
      <c r="K4" s="305">
        <v>2012</v>
      </c>
      <c r="L4" s="305">
        <v>2013</v>
      </c>
      <c r="M4" s="305">
        <v>2014</v>
      </c>
      <c r="N4" s="305">
        <v>2015</v>
      </c>
      <c r="O4" s="305">
        <v>2016</v>
      </c>
      <c r="P4" s="305">
        <v>2017</v>
      </c>
      <c r="Q4" s="305">
        <v>2018</v>
      </c>
      <c r="R4" s="362"/>
    </row>
    <row r="6" spans="1:18" ht="12.75">
      <c r="A6" s="96" t="s">
        <v>171</v>
      </c>
      <c r="B6" s="97">
        <v>383804</v>
      </c>
      <c r="C6" s="97">
        <v>401503</v>
      </c>
      <c r="D6" s="97">
        <v>415704</v>
      </c>
      <c r="E6" s="97">
        <v>434959</v>
      </c>
      <c r="F6" s="97">
        <v>483292</v>
      </c>
      <c r="G6" s="97">
        <v>469746</v>
      </c>
      <c r="H6" s="97">
        <v>435179</v>
      </c>
      <c r="I6" s="97">
        <v>433683</v>
      </c>
      <c r="J6" s="97">
        <v>429390</v>
      </c>
      <c r="K6" s="97">
        <v>373185</v>
      </c>
      <c r="L6" s="97">
        <v>333065</v>
      </c>
      <c r="M6" s="97">
        <v>342601</v>
      </c>
      <c r="N6" s="97">
        <v>366608</v>
      </c>
      <c r="O6" s="97">
        <v>378150</v>
      </c>
      <c r="P6" s="97">
        <v>387566</v>
      </c>
      <c r="Q6" s="97">
        <v>409832</v>
      </c>
      <c r="R6" s="315">
        <f>(Q6-P6)/P6</f>
        <v>0.05745085998255781</v>
      </c>
    </row>
    <row r="7" spans="1:18" ht="12.75">
      <c r="A7" s="265" t="s">
        <v>172</v>
      </c>
      <c r="B7" s="301">
        <v>282021</v>
      </c>
      <c r="C7" s="301">
        <v>291369</v>
      </c>
      <c r="D7" s="301">
        <v>307811</v>
      </c>
      <c r="E7" s="301">
        <v>327650</v>
      </c>
      <c r="F7" s="301">
        <v>352501</v>
      </c>
      <c r="G7" s="301">
        <v>321693</v>
      </c>
      <c r="H7" s="301">
        <v>278965</v>
      </c>
      <c r="I7" s="301">
        <v>277832</v>
      </c>
      <c r="J7" s="301">
        <v>303054</v>
      </c>
      <c r="K7" s="301">
        <v>290004</v>
      </c>
      <c r="L7" s="301">
        <v>276496</v>
      </c>
      <c r="M7" s="301">
        <v>283850</v>
      </c>
      <c r="N7" s="301">
        <v>288879</v>
      </c>
      <c r="O7" s="301">
        <v>307864</v>
      </c>
      <c r="P7" s="301">
        <v>323539</v>
      </c>
      <c r="Q7" s="301">
        <v>335651</v>
      </c>
      <c r="R7" s="316">
        <f aca="true" t="shared" si="0" ref="R7:R53">(Q7-P7)/P7</f>
        <v>0.03743598144273179</v>
      </c>
    </row>
    <row r="8" spans="1:18" ht="12.75">
      <c r="A8" s="96" t="s">
        <v>43</v>
      </c>
      <c r="B8" s="97">
        <v>168988</v>
      </c>
      <c r="C8" s="97">
        <v>177859</v>
      </c>
      <c r="D8" s="97">
        <v>182028</v>
      </c>
      <c r="E8" s="97">
        <v>190304</v>
      </c>
      <c r="F8" s="97">
        <v>197384</v>
      </c>
      <c r="G8" s="97">
        <v>193379</v>
      </c>
      <c r="H8" s="97">
        <v>177492</v>
      </c>
      <c r="I8" s="97">
        <v>174631</v>
      </c>
      <c r="J8" s="97">
        <v>180152</v>
      </c>
      <c r="K8" s="97">
        <v>173957</v>
      </c>
      <c r="L8" s="97">
        <v>170138</v>
      </c>
      <c r="M8" s="97">
        <v>172628</v>
      </c>
      <c r="N8" s="97">
        <v>178254</v>
      </c>
      <c r="O8" s="97">
        <v>197639</v>
      </c>
      <c r="P8" s="97">
        <v>208787</v>
      </c>
      <c r="Q8" s="97">
        <v>220329</v>
      </c>
      <c r="R8" s="315">
        <f t="shared" si="0"/>
        <v>0.05528121961616384</v>
      </c>
    </row>
    <row r="9" spans="1:18" ht="12.75">
      <c r="A9" s="265" t="s">
        <v>173</v>
      </c>
      <c r="B9" s="301">
        <v>110220</v>
      </c>
      <c r="C9" s="301">
        <v>116047</v>
      </c>
      <c r="D9" s="301">
        <v>123959</v>
      </c>
      <c r="E9" s="301">
        <v>127776</v>
      </c>
      <c r="F9" s="301">
        <v>129698</v>
      </c>
      <c r="G9" s="301">
        <v>119821</v>
      </c>
      <c r="H9" s="301">
        <v>103536</v>
      </c>
      <c r="I9" s="301">
        <v>105631</v>
      </c>
      <c r="J9" s="301">
        <v>107397</v>
      </c>
      <c r="K9" s="301">
        <v>102153</v>
      </c>
      <c r="L9" s="301">
        <v>102359</v>
      </c>
      <c r="M9" s="301">
        <v>108263</v>
      </c>
      <c r="N9" s="301">
        <v>108909</v>
      </c>
      <c r="O9" s="301">
        <v>123700</v>
      </c>
      <c r="P9" s="301">
        <v>137092</v>
      </c>
      <c r="Q9" s="301">
        <v>141313</v>
      </c>
      <c r="R9" s="316">
        <f t="shared" si="0"/>
        <v>0.030789542788784173</v>
      </c>
    </row>
    <row r="10" spans="1:18" ht="12.75">
      <c r="A10" s="96" t="s">
        <v>89</v>
      </c>
      <c r="B10" s="97">
        <v>99712</v>
      </c>
      <c r="C10" s="97">
        <v>104659</v>
      </c>
      <c r="D10" s="97">
        <v>110748</v>
      </c>
      <c r="E10" s="97">
        <v>114949</v>
      </c>
      <c r="F10" s="97">
        <v>114355</v>
      </c>
      <c r="G10" s="97">
        <v>116252</v>
      </c>
      <c r="H10" s="97">
        <v>101551</v>
      </c>
      <c r="I10" s="97">
        <v>103087</v>
      </c>
      <c r="J10" s="97">
        <v>111271</v>
      </c>
      <c r="K10" s="97">
        <v>100390</v>
      </c>
      <c r="L10" s="97">
        <v>95483</v>
      </c>
      <c r="M10" s="97">
        <v>102211</v>
      </c>
      <c r="N10" s="97">
        <v>100420</v>
      </c>
      <c r="O10" s="97">
        <v>111996</v>
      </c>
      <c r="P10" s="97">
        <v>118554</v>
      </c>
      <c r="Q10" s="97">
        <v>131030</v>
      </c>
      <c r="R10" s="315">
        <f t="shared" si="0"/>
        <v>0.1052347453481114</v>
      </c>
    </row>
    <row r="11" spans="1:18" ht="12.75">
      <c r="A11" s="265" t="s">
        <v>174</v>
      </c>
      <c r="B11" s="301">
        <v>66571</v>
      </c>
      <c r="C11" s="301">
        <v>71387</v>
      </c>
      <c r="D11" s="301">
        <v>76109</v>
      </c>
      <c r="E11" s="301">
        <v>76813</v>
      </c>
      <c r="F11" s="301">
        <v>79756</v>
      </c>
      <c r="G11" s="301">
        <v>81097</v>
      </c>
      <c r="H11" s="301">
        <v>74281</v>
      </c>
      <c r="I11" s="301">
        <v>74474</v>
      </c>
      <c r="J11" s="301">
        <v>75576</v>
      </c>
      <c r="K11" s="301">
        <v>62468</v>
      </c>
      <c r="L11" s="301">
        <v>68303</v>
      </c>
      <c r="M11" s="301">
        <v>71570</v>
      </c>
      <c r="N11" s="301">
        <v>74086</v>
      </c>
      <c r="O11" s="301">
        <v>87113</v>
      </c>
      <c r="P11" s="301">
        <v>95322</v>
      </c>
      <c r="Q11" s="301">
        <v>96734</v>
      </c>
      <c r="R11" s="316">
        <f t="shared" si="0"/>
        <v>0.014812949791233923</v>
      </c>
    </row>
    <row r="12" spans="1:18" ht="12.75">
      <c r="A12" s="96" t="s">
        <v>44</v>
      </c>
      <c r="B12" s="97">
        <v>62506</v>
      </c>
      <c r="C12" s="97">
        <v>62824</v>
      </c>
      <c r="D12" s="97">
        <v>63649</v>
      </c>
      <c r="E12" s="97">
        <v>65774</v>
      </c>
      <c r="F12" s="97">
        <v>65036</v>
      </c>
      <c r="G12" s="97">
        <v>60779</v>
      </c>
      <c r="H12" s="97">
        <v>49779</v>
      </c>
      <c r="I12" s="97">
        <v>51858</v>
      </c>
      <c r="J12" s="97">
        <v>58093</v>
      </c>
      <c r="K12" s="97">
        <v>56210</v>
      </c>
      <c r="L12" s="97">
        <v>55987</v>
      </c>
      <c r="M12" s="97">
        <v>60290</v>
      </c>
      <c r="N12" s="97">
        <v>58462</v>
      </c>
      <c r="O12" s="97">
        <v>65881</v>
      </c>
      <c r="P12" s="97">
        <v>69846</v>
      </c>
      <c r="Q12" s="97">
        <v>69910</v>
      </c>
      <c r="R12" s="315">
        <f t="shared" si="0"/>
        <v>0.0009163015777567792</v>
      </c>
    </row>
    <row r="13" spans="1:18" ht="12.75">
      <c r="A13" s="265" t="s">
        <v>46</v>
      </c>
      <c r="B13" s="301">
        <v>47990</v>
      </c>
      <c r="C13" s="301">
        <v>48798</v>
      </c>
      <c r="D13" s="301">
        <v>49603</v>
      </c>
      <c r="E13" s="301">
        <v>54146</v>
      </c>
      <c r="F13" s="301">
        <v>57855</v>
      </c>
      <c r="G13" s="301">
        <v>57233</v>
      </c>
      <c r="H13" s="301">
        <v>53551</v>
      </c>
      <c r="I13" s="301">
        <v>56988</v>
      </c>
      <c r="J13" s="301">
        <v>61768</v>
      </c>
      <c r="K13" s="301">
        <v>57737</v>
      </c>
      <c r="L13" s="301">
        <v>56305</v>
      </c>
      <c r="M13" s="301">
        <v>60142</v>
      </c>
      <c r="N13" s="301">
        <v>64612</v>
      </c>
      <c r="O13" s="301">
        <v>72503</v>
      </c>
      <c r="P13" s="301">
        <v>75691</v>
      </c>
      <c r="Q13" s="301">
        <v>76995</v>
      </c>
      <c r="R13" s="316">
        <f t="shared" si="0"/>
        <v>0.017227939913596068</v>
      </c>
    </row>
    <row r="14" spans="1:18" ht="12.75">
      <c r="A14" s="96" t="s">
        <v>80</v>
      </c>
      <c r="B14" s="97">
        <v>65548</v>
      </c>
      <c r="C14" s="97">
        <v>72679</v>
      </c>
      <c r="D14" s="97">
        <v>87045</v>
      </c>
      <c r="E14" s="97">
        <v>87920</v>
      </c>
      <c r="F14" s="97">
        <v>96616</v>
      </c>
      <c r="G14" s="97">
        <v>96795</v>
      </c>
      <c r="H14" s="97">
        <v>81113</v>
      </c>
      <c r="I14" s="97">
        <v>77802</v>
      </c>
      <c r="J14" s="97">
        <v>70397</v>
      </c>
      <c r="K14" s="97">
        <v>59824</v>
      </c>
      <c r="L14" s="97">
        <v>57163</v>
      </c>
      <c r="M14" s="97">
        <v>56438</v>
      </c>
      <c r="N14" s="97">
        <v>59007</v>
      </c>
      <c r="O14" s="97">
        <v>62798</v>
      </c>
      <c r="P14" s="97">
        <v>68041</v>
      </c>
      <c r="Q14" s="97">
        <v>75834</v>
      </c>
      <c r="R14" s="315">
        <f t="shared" si="0"/>
        <v>0.1145338839817169</v>
      </c>
    </row>
    <row r="15" spans="1:18" ht="12.75">
      <c r="A15" s="265" t="s">
        <v>48</v>
      </c>
      <c r="B15" s="301">
        <v>53718</v>
      </c>
      <c r="C15" s="301">
        <v>56592</v>
      </c>
      <c r="D15" s="301">
        <v>60235</v>
      </c>
      <c r="E15" s="301">
        <v>65297</v>
      </c>
      <c r="F15" s="301">
        <v>65843</v>
      </c>
      <c r="G15" s="301">
        <v>67800</v>
      </c>
      <c r="H15" s="301">
        <v>62773</v>
      </c>
      <c r="I15" s="301">
        <v>61607</v>
      </c>
      <c r="J15" s="301">
        <v>62604</v>
      </c>
      <c r="K15" s="301">
        <v>55784</v>
      </c>
      <c r="L15" s="301">
        <v>49284</v>
      </c>
      <c r="M15" s="301">
        <v>52689</v>
      </c>
      <c r="N15" s="301">
        <v>53260</v>
      </c>
      <c r="O15" s="301">
        <v>55669</v>
      </c>
      <c r="P15" s="301">
        <v>61098</v>
      </c>
      <c r="Q15" s="301">
        <v>73222</v>
      </c>
      <c r="R15" s="316">
        <f t="shared" si="0"/>
        <v>0.1984353006645062</v>
      </c>
    </row>
    <row r="16" spans="1:18" ht="12.75">
      <c r="A16" s="96" t="s">
        <v>45</v>
      </c>
      <c r="B16" s="97">
        <v>47667</v>
      </c>
      <c r="C16" s="97">
        <v>48446</v>
      </c>
      <c r="D16" s="97">
        <v>47158</v>
      </c>
      <c r="E16" s="97">
        <v>50172</v>
      </c>
      <c r="F16" s="97">
        <v>52968</v>
      </c>
      <c r="G16" s="97">
        <v>53375</v>
      </c>
      <c r="H16" s="97">
        <v>42914</v>
      </c>
      <c r="I16" s="97">
        <v>46668</v>
      </c>
      <c r="J16" s="97">
        <v>49675</v>
      </c>
      <c r="K16" s="97">
        <v>44787</v>
      </c>
      <c r="L16" s="97">
        <v>44259</v>
      </c>
      <c r="M16" s="97">
        <v>49575</v>
      </c>
      <c r="N16" s="97">
        <v>50448</v>
      </c>
      <c r="O16" s="97">
        <v>54632</v>
      </c>
      <c r="P16" s="97">
        <v>59476</v>
      </c>
      <c r="Q16" s="97">
        <v>60955</v>
      </c>
      <c r="R16" s="315">
        <f t="shared" si="0"/>
        <v>0.024867173313605488</v>
      </c>
    </row>
    <row r="17" spans="1:18" ht="12.75">
      <c r="A17" s="265" t="s">
        <v>49</v>
      </c>
      <c r="B17" s="301">
        <v>44009</v>
      </c>
      <c r="C17" s="301">
        <v>50361</v>
      </c>
      <c r="D17" s="301">
        <v>56285</v>
      </c>
      <c r="E17" s="301">
        <v>58574</v>
      </c>
      <c r="F17" s="301">
        <v>63076</v>
      </c>
      <c r="G17" s="301">
        <v>61682</v>
      </c>
      <c r="H17" s="301">
        <v>54146</v>
      </c>
      <c r="I17" s="301">
        <v>54119</v>
      </c>
      <c r="J17" s="301">
        <v>54446</v>
      </c>
      <c r="K17" s="301">
        <v>50030</v>
      </c>
      <c r="L17" s="301">
        <v>42683</v>
      </c>
      <c r="M17" s="301">
        <v>42590</v>
      </c>
      <c r="N17" s="301">
        <v>43862</v>
      </c>
      <c r="O17" s="301">
        <v>45105</v>
      </c>
      <c r="P17" s="301">
        <v>46989</v>
      </c>
      <c r="Q17" s="301">
        <v>49966</v>
      </c>
      <c r="R17" s="316">
        <f t="shared" si="0"/>
        <v>0.0633552533571687</v>
      </c>
    </row>
    <row r="18" spans="1:18" ht="12.75">
      <c r="A18" s="96" t="s">
        <v>50</v>
      </c>
      <c r="B18" s="97">
        <v>38483</v>
      </c>
      <c r="C18" s="97">
        <v>44231</v>
      </c>
      <c r="D18" s="97">
        <v>55423</v>
      </c>
      <c r="E18" s="97">
        <v>58576</v>
      </c>
      <c r="F18" s="97">
        <v>65092</v>
      </c>
      <c r="G18" s="97">
        <v>65067</v>
      </c>
      <c r="H18" s="97">
        <v>55593</v>
      </c>
      <c r="I18" s="97">
        <v>54492</v>
      </c>
      <c r="J18" s="97">
        <v>56021</v>
      </c>
      <c r="K18" s="97">
        <v>48501</v>
      </c>
      <c r="L18" s="97">
        <v>41587</v>
      </c>
      <c r="M18" s="97">
        <v>42380</v>
      </c>
      <c r="N18" s="97">
        <v>46086</v>
      </c>
      <c r="O18" s="97">
        <v>45838</v>
      </c>
      <c r="P18" s="97">
        <v>48660</v>
      </c>
      <c r="Q18" s="97">
        <v>57909</v>
      </c>
      <c r="R18" s="315">
        <f t="shared" si="0"/>
        <v>0.19007398273736129</v>
      </c>
    </row>
    <row r="19" spans="1:18" ht="12.75">
      <c r="A19" s="265" t="s">
        <v>47</v>
      </c>
      <c r="B19" s="301">
        <v>39695</v>
      </c>
      <c r="C19" s="301">
        <v>39865</v>
      </c>
      <c r="D19" s="301">
        <v>40415</v>
      </c>
      <c r="E19" s="301">
        <v>44044</v>
      </c>
      <c r="F19" s="301">
        <v>44870</v>
      </c>
      <c r="G19" s="301">
        <v>44552</v>
      </c>
      <c r="H19" s="301">
        <v>36427</v>
      </c>
      <c r="I19" s="301">
        <v>39437</v>
      </c>
      <c r="J19" s="301">
        <v>44549</v>
      </c>
      <c r="K19" s="301">
        <v>37772</v>
      </c>
      <c r="L19" s="301">
        <v>35498</v>
      </c>
      <c r="M19" s="301">
        <v>40066</v>
      </c>
      <c r="N19" s="301">
        <v>39307</v>
      </c>
      <c r="O19" s="301">
        <v>45456</v>
      </c>
      <c r="P19" s="301">
        <v>48216</v>
      </c>
      <c r="Q19" s="301">
        <v>51541</v>
      </c>
      <c r="R19" s="316">
        <f t="shared" si="0"/>
        <v>0.06896051103368177</v>
      </c>
    </row>
    <row r="20" spans="1:18" ht="12.75">
      <c r="A20" s="96" t="s">
        <v>53</v>
      </c>
      <c r="B20" s="97">
        <v>24946</v>
      </c>
      <c r="C20" s="97">
        <v>26599</v>
      </c>
      <c r="D20" s="97">
        <v>38235</v>
      </c>
      <c r="E20" s="97">
        <v>46535</v>
      </c>
      <c r="F20" s="97">
        <v>50374</v>
      </c>
      <c r="G20" s="97">
        <v>50551</v>
      </c>
      <c r="H20" s="97">
        <v>43327</v>
      </c>
      <c r="I20" s="97">
        <v>33395</v>
      </c>
      <c r="J20" s="97">
        <v>41713</v>
      </c>
      <c r="K20" s="97">
        <v>38697</v>
      </c>
      <c r="L20" s="97">
        <v>42257</v>
      </c>
      <c r="M20" s="97">
        <v>38357</v>
      </c>
      <c r="N20" s="97">
        <v>43566</v>
      </c>
      <c r="O20" s="97">
        <v>49266</v>
      </c>
      <c r="P20" s="97">
        <v>48628</v>
      </c>
      <c r="Q20" s="97">
        <v>51195</v>
      </c>
      <c r="R20" s="315">
        <f t="shared" si="0"/>
        <v>0.052788516903841405</v>
      </c>
    </row>
    <row r="21" spans="1:18" ht="12.75">
      <c r="A21" s="265" t="s">
        <v>82</v>
      </c>
      <c r="B21" s="301">
        <v>73086</v>
      </c>
      <c r="C21" s="301">
        <v>66404</v>
      </c>
      <c r="D21" s="301">
        <v>64657</v>
      </c>
      <c r="E21" s="301">
        <v>61505</v>
      </c>
      <c r="F21" s="301">
        <v>68018</v>
      </c>
      <c r="G21" s="301">
        <v>52893</v>
      </c>
      <c r="H21" s="301">
        <v>54863</v>
      </c>
      <c r="I21" s="301">
        <v>44622</v>
      </c>
      <c r="J21" s="301">
        <v>42707</v>
      </c>
      <c r="K21" s="301">
        <v>37555</v>
      </c>
      <c r="L21" s="301">
        <v>35661</v>
      </c>
      <c r="M21" s="301">
        <v>33201</v>
      </c>
      <c r="N21" s="301">
        <v>40258</v>
      </c>
      <c r="O21" s="301">
        <v>35640</v>
      </c>
      <c r="P21" s="301">
        <v>46521</v>
      </c>
      <c r="Q21" s="301">
        <v>47271</v>
      </c>
      <c r="R21" s="316">
        <f t="shared" si="0"/>
        <v>0.016121751467079382</v>
      </c>
    </row>
    <row r="22" spans="1:18" ht="12.75">
      <c r="A22" s="96" t="s">
        <v>74</v>
      </c>
      <c r="B22" s="97">
        <v>51901</v>
      </c>
      <c r="C22" s="97">
        <v>42902</v>
      </c>
      <c r="D22" s="97">
        <v>43814</v>
      </c>
      <c r="E22" s="97">
        <v>48695</v>
      </c>
      <c r="F22" s="97">
        <v>61195</v>
      </c>
      <c r="G22" s="97">
        <v>49642</v>
      </c>
      <c r="H22" s="97">
        <v>43399</v>
      </c>
      <c r="I22" s="97">
        <v>37661</v>
      </c>
      <c r="J22" s="97">
        <v>33395</v>
      </c>
      <c r="K22" s="97">
        <v>29042</v>
      </c>
      <c r="L22" s="97">
        <v>27734</v>
      </c>
      <c r="M22" s="97">
        <v>27060</v>
      </c>
      <c r="N22" s="97">
        <v>29975</v>
      </c>
      <c r="O22" s="97">
        <v>36002</v>
      </c>
      <c r="P22" s="97">
        <v>41260</v>
      </c>
      <c r="Q22" s="97">
        <v>44055</v>
      </c>
      <c r="R22" s="315">
        <f t="shared" si="0"/>
        <v>0.06774115365971886</v>
      </c>
    </row>
    <row r="23" spans="1:18" ht="12.75">
      <c r="A23" s="265" t="s">
        <v>51</v>
      </c>
      <c r="B23" s="301">
        <v>32388</v>
      </c>
      <c r="C23" s="301">
        <v>29538</v>
      </c>
      <c r="D23" s="301">
        <v>29428</v>
      </c>
      <c r="E23" s="301">
        <v>32921</v>
      </c>
      <c r="F23" s="301">
        <v>33802</v>
      </c>
      <c r="G23" s="301">
        <v>31804</v>
      </c>
      <c r="H23" s="301">
        <v>28188</v>
      </c>
      <c r="I23" s="301">
        <v>28357</v>
      </c>
      <c r="J23" s="301">
        <v>28042</v>
      </c>
      <c r="K23" s="301">
        <v>25533</v>
      </c>
      <c r="L23" s="301">
        <v>24418</v>
      </c>
      <c r="M23" s="301">
        <v>24716</v>
      </c>
      <c r="N23" s="301">
        <v>28687</v>
      </c>
      <c r="O23" s="301">
        <v>31252</v>
      </c>
      <c r="P23" s="301">
        <v>30293</v>
      </c>
      <c r="Q23" s="301">
        <v>31370</v>
      </c>
      <c r="R23" s="316">
        <f t="shared" si="0"/>
        <v>0.03555276796619681</v>
      </c>
    </row>
    <row r="24" spans="1:18" ht="12.75">
      <c r="A24" s="96" t="s">
        <v>3</v>
      </c>
      <c r="B24" s="97">
        <v>20138</v>
      </c>
      <c r="C24" s="97">
        <v>28668</v>
      </c>
      <c r="D24" s="97">
        <v>32126</v>
      </c>
      <c r="E24" s="97">
        <v>33439</v>
      </c>
      <c r="F24" s="97">
        <v>45289</v>
      </c>
      <c r="G24" s="97">
        <v>49927</v>
      </c>
      <c r="H24" s="97">
        <v>48128</v>
      </c>
      <c r="I24" s="97">
        <v>43290</v>
      </c>
      <c r="J24" s="97">
        <v>27799</v>
      </c>
      <c r="K24" s="97">
        <v>27674</v>
      </c>
      <c r="L24" s="97">
        <v>27050</v>
      </c>
      <c r="M24" s="97">
        <v>20629</v>
      </c>
      <c r="N24" s="97">
        <v>19529</v>
      </c>
      <c r="O24" s="97">
        <v>18815</v>
      </c>
      <c r="P24" s="97">
        <v>19252</v>
      </c>
      <c r="Q24" s="97">
        <v>17870</v>
      </c>
      <c r="R24" s="315">
        <f t="shared" si="0"/>
        <v>-0.07178474963640141</v>
      </c>
    </row>
    <row r="25" spans="1:18" ht="12.75">
      <c r="A25" s="265" t="s">
        <v>52</v>
      </c>
      <c r="B25" s="301">
        <v>18454</v>
      </c>
      <c r="C25" s="301">
        <v>21593</v>
      </c>
      <c r="D25" s="301">
        <v>25693</v>
      </c>
      <c r="E25" s="301">
        <v>24719</v>
      </c>
      <c r="F25" s="301">
        <v>24643</v>
      </c>
      <c r="G25" s="301">
        <v>21945</v>
      </c>
      <c r="H25" s="301">
        <v>20158</v>
      </c>
      <c r="I25" s="301">
        <v>21247</v>
      </c>
      <c r="J25" s="301">
        <v>22322</v>
      </c>
      <c r="K25" s="301">
        <v>19509</v>
      </c>
      <c r="L25" s="301">
        <v>18668</v>
      </c>
      <c r="M25" s="301">
        <v>19431</v>
      </c>
      <c r="N25" s="301">
        <v>20541</v>
      </c>
      <c r="O25" s="301">
        <v>21277</v>
      </c>
      <c r="P25" s="301">
        <v>21520</v>
      </c>
      <c r="Q25" s="301">
        <v>21839</v>
      </c>
      <c r="R25" s="316">
        <f t="shared" si="0"/>
        <v>0.014823420074349442</v>
      </c>
    </row>
    <row r="26" spans="1:18" ht="12.75">
      <c r="A26" s="96" t="s">
        <v>4</v>
      </c>
      <c r="B26" s="97">
        <v>19654</v>
      </c>
      <c r="C26" s="97">
        <v>21608</v>
      </c>
      <c r="D26" s="97">
        <v>24481</v>
      </c>
      <c r="E26" s="97">
        <v>24896</v>
      </c>
      <c r="F26" s="97">
        <v>25701</v>
      </c>
      <c r="G26" s="97">
        <v>26676</v>
      </c>
      <c r="H26" s="97">
        <v>30948</v>
      </c>
      <c r="I26" s="97">
        <v>26522</v>
      </c>
      <c r="J26" s="97">
        <v>21494</v>
      </c>
      <c r="K26" s="97">
        <v>16111</v>
      </c>
      <c r="L26" s="97">
        <v>16977</v>
      </c>
      <c r="M26" s="97">
        <v>15986</v>
      </c>
      <c r="N26" s="97">
        <v>13533</v>
      </c>
      <c r="O26" s="97">
        <v>14472</v>
      </c>
      <c r="P26" s="97">
        <v>16023</v>
      </c>
      <c r="Q26" s="97">
        <v>16855</v>
      </c>
      <c r="R26" s="315">
        <f t="shared" si="0"/>
        <v>0.051925357298882854</v>
      </c>
    </row>
    <row r="27" spans="1:18" ht="12.75">
      <c r="A27" s="265" t="s">
        <v>56</v>
      </c>
      <c r="B27" s="301">
        <v>17542</v>
      </c>
      <c r="C27" s="301">
        <v>19067</v>
      </c>
      <c r="D27" s="301">
        <v>20792</v>
      </c>
      <c r="E27" s="301">
        <v>21364</v>
      </c>
      <c r="F27" s="301">
        <v>20427</v>
      </c>
      <c r="G27" s="301">
        <v>20109</v>
      </c>
      <c r="H27" s="301">
        <v>19741</v>
      </c>
      <c r="I27" s="301">
        <v>19256</v>
      </c>
      <c r="J27" s="301">
        <v>19455</v>
      </c>
      <c r="K27" s="301">
        <v>16932</v>
      </c>
      <c r="L27" s="301">
        <v>12891</v>
      </c>
      <c r="M27" s="301">
        <v>14989</v>
      </c>
      <c r="N27" s="301">
        <v>15800</v>
      </c>
      <c r="O27" s="301">
        <v>17296</v>
      </c>
      <c r="P27" s="301">
        <v>17757</v>
      </c>
      <c r="Q27" s="301">
        <v>22033</v>
      </c>
      <c r="R27" s="316">
        <f t="shared" si="0"/>
        <v>0.2408064425297066</v>
      </c>
    </row>
    <row r="28" spans="1:18" ht="12.75">
      <c r="A28" s="96" t="s">
        <v>58</v>
      </c>
      <c r="B28" s="97">
        <v>12621</v>
      </c>
      <c r="C28" s="97">
        <v>12945</v>
      </c>
      <c r="D28" s="97">
        <v>15625</v>
      </c>
      <c r="E28" s="97">
        <v>17406</v>
      </c>
      <c r="F28" s="97">
        <v>18730</v>
      </c>
      <c r="G28" s="97">
        <v>17719</v>
      </c>
      <c r="H28" s="97">
        <v>16236</v>
      </c>
      <c r="I28" s="97">
        <v>17378</v>
      </c>
      <c r="J28" s="97">
        <v>16283</v>
      </c>
      <c r="K28" s="97">
        <v>13693</v>
      </c>
      <c r="L28" s="97">
        <v>13306</v>
      </c>
      <c r="M28" s="97">
        <v>14811</v>
      </c>
      <c r="N28" s="97">
        <v>14683</v>
      </c>
      <c r="O28" s="97">
        <v>15635</v>
      </c>
      <c r="P28" s="97">
        <v>16078</v>
      </c>
      <c r="Q28" s="97">
        <v>17558</v>
      </c>
      <c r="R28" s="315">
        <f t="shared" si="0"/>
        <v>0.09205125015549198</v>
      </c>
    </row>
    <row r="29" spans="1:18" ht="12.75">
      <c r="A29" s="265" t="s">
        <v>54</v>
      </c>
      <c r="B29" s="301">
        <v>12867</v>
      </c>
      <c r="C29" s="301">
        <v>14198</v>
      </c>
      <c r="D29" s="301">
        <v>17535</v>
      </c>
      <c r="E29" s="301">
        <v>17987</v>
      </c>
      <c r="F29" s="301">
        <v>19149</v>
      </c>
      <c r="G29" s="301">
        <v>18371</v>
      </c>
      <c r="H29" s="301">
        <v>16033</v>
      </c>
      <c r="I29" s="301">
        <v>16538</v>
      </c>
      <c r="J29" s="301">
        <v>15348</v>
      </c>
      <c r="K29" s="301">
        <v>13252</v>
      </c>
      <c r="L29" s="301">
        <v>10407</v>
      </c>
      <c r="M29" s="301">
        <v>11715</v>
      </c>
      <c r="N29" s="301">
        <v>10758</v>
      </c>
      <c r="O29" s="301">
        <v>11928</v>
      </c>
      <c r="P29" s="301">
        <v>13005</v>
      </c>
      <c r="Q29" s="301">
        <v>12444</v>
      </c>
      <c r="R29" s="316">
        <f t="shared" si="0"/>
        <v>-0.043137254901960784</v>
      </c>
    </row>
    <row r="30" spans="1:18" ht="12.75">
      <c r="A30" s="96" t="s">
        <v>75</v>
      </c>
      <c r="B30" s="99" t="s">
        <v>76</v>
      </c>
      <c r="C30" s="99" t="s">
        <v>76</v>
      </c>
      <c r="D30" s="97">
        <v>15897</v>
      </c>
      <c r="E30" s="97">
        <v>14466</v>
      </c>
      <c r="F30" s="97">
        <v>12594</v>
      </c>
      <c r="G30" s="97">
        <v>15975</v>
      </c>
      <c r="H30" s="97">
        <v>13069</v>
      </c>
      <c r="I30" s="97">
        <v>12964</v>
      </c>
      <c r="J30" s="97">
        <v>14431</v>
      </c>
      <c r="K30" s="97">
        <v>12792</v>
      </c>
      <c r="L30" s="97">
        <v>11167</v>
      </c>
      <c r="M30" s="97">
        <v>11323</v>
      </c>
      <c r="N30" s="97">
        <v>13148</v>
      </c>
      <c r="O30" s="97">
        <v>12935</v>
      </c>
      <c r="P30" s="97">
        <v>12259</v>
      </c>
      <c r="Q30" s="97">
        <v>11954</v>
      </c>
      <c r="R30" s="315">
        <f t="shared" si="0"/>
        <v>-0.024879680234929438</v>
      </c>
    </row>
    <row r="31" spans="1:18" ht="12.75">
      <c r="A31" s="265" t="s">
        <v>57</v>
      </c>
      <c r="B31" s="301">
        <v>14918</v>
      </c>
      <c r="C31" s="301">
        <v>15046</v>
      </c>
      <c r="D31" s="301">
        <v>18269</v>
      </c>
      <c r="E31" s="301">
        <v>18451</v>
      </c>
      <c r="F31" s="301">
        <v>20141</v>
      </c>
      <c r="G31" s="301">
        <v>18280</v>
      </c>
      <c r="H31" s="301">
        <v>15391</v>
      </c>
      <c r="I31" s="301">
        <v>16110</v>
      </c>
      <c r="J31" s="301">
        <v>14946</v>
      </c>
      <c r="K31" s="301">
        <v>12642</v>
      </c>
      <c r="L31" s="301">
        <v>10593</v>
      </c>
      <c r="M31" s="301">
        <v>10759</v>
      </c>
      <c r="N31" s="301">
        <v>10278</v>
      </c>
      <c r="O31" s="301">
        <v>11737</v>
      </c>
      <c r="P31" s="301">
        <v>12218</v>
      </c>
      <c r="Q31" s="301">
        <v>11946</v>
      </c>
      <c r="R31" s="316">
        <f t="shared" si="0"/>
        <v>-0.022262236045179244</v>
      </c>
    </row>
    <row r="32" spans="1:18" ht="12.75">
      <c r="A32" s="96" t="s">
        <v>90</v>
      </c>
      <c r="B32" s="97">
        <v>12804</v>
      </c>
      <c r="C32" s="97">
        <v>13584</v>
      </c>
      <c r="D32" s="97">
        <v>15746</v>
      </c>
      <c r="E32" s="97">
        <v>17583</v>
      </c>
      <c r="F32" s="97">
        <v>21822</v>
      </c>
      <c r="G32" s="97">
        <v>19279</v>
      </c>
      <c r="H32" s="97">
        <v>16300</v>
      </c>
      <c r="I32" s="97">
        <v>13841</v>
      </c>
      <c r="J32" s="97">
        <v>13142</v>
      </c>
      <c r="K32" s="97">
        <v>11375</v>
      </c>
      <c r="L32" s="97">
        <v>10563</v>
      </c>
      <c r="M32" s="97">
        <v>10348</v>
      </c>
      <c r="N32" s="97">
        <v>11089</v>
      </c>
      <c r="O32" s="97">
        <v>11331</v>
      </c>
      <c r="P32" s="97">
        <v>12539</v>
      </c>
      <c r="Q32" s="97">
        <v>13714</v>
      </c>
      <c r="R32" s="315">
        <f t="shared" si="0"/>
        <v>0.09370763218757476</v>
      </c>
    </row>
    <row r="33" spans="1:18" ht="12.75">
      <c r="A33" s="265" t="s">
        <v>59</v>
      </c>
      <c r="B33" s="301">
        <v>11326</v>
      </c>
      <c r="C33" s="301">
        <v>11643</v>
      </c>
      <c r="D33" s="301">
        <v>16148</v>
      </c>
      <c r="E33" s="301">
        <v>15195</v>
      </c>
      <c r="F33" s="301">
        <v>16998</v>
      </c>
      <c r="G33" s="301">
        <v>19198</v>
      </c>
      <c r="H33" s="301">
        <v>18753</v>
      </c>
      <c r="I33" s="301">
        <v>16667</v>
      </c>
      <c r="J33" s="301">
        <v>17072</v>
      </c>
      <c r="K33" s="301">
        <v>15148</v>
      </c>
      <c r="L33" s="301">
        <v>12261</v>
      </c>
      <c r="M33" s="301">
        <v>10333</v>
      </c>
      <c r="N33" s="301">
        <v>10796</v>
      </c>
      <c r="O33" s="301">
        <v>9822</v>
      </c>
      <c r="P33" s="301">
        <v>10989</v>
      </c>
      <c r="Q33" s="301">
        <v>11258</v>
      </c>
      <c r="R33" s="316">
        <f t="shared" si="0"/>
        <v>0.02447902447902448</v>
      </c>
    </row>
    <row r="34" spans="1:18" ht="12.75">
      <c r="A34" s="96" t="s">
        <v>55</v>
      </c>
      <c r="B34" s="97">
        <v>13453</v>
      </c>
      <c r="C34" s="97">
        <v>15458</v>
      </c>
      <c r="D34" s="97">
        <v>18855</v>
      </c>
      <c r="E34" s="97">
        <v>19655</v>
      </c>
      <c r="F34" s="97">
        <v>19999</v>
      </c>
      <c r="G34" s="97">
        <v>17934</v>
      </c>
      <c r="H34" s="97">
        <v>15696</v>
      </c>
      <c r="I34" s="97">
        <v>14937</v>
      </c>
      <c r="J34" s="97">
        <v>14130</v>
      </c>
      <c r="K34" s="97">
        <v>11181</v>
      </c>
      <c r="L34" s="97">
        <v>10635</v>
      </c>
      <c r="M34" s="97">
        <v>9914</v>
      </c>
      <c r="N34" s="97">
        <v>9580</v>
      </c>
      <c r="O34" s="97">
        <v>11557</v>
      </c>
      <c r="P34" s="97">
        <v>12479</v>
      </c>
      <c r="Q34" s="97">
        <v>12526</v>
      </c>
      <c r="R34" s="315">
        <f t="shared" si="0"/>
        <v>0.0037663274300825385</v>
      </c>
    </row>
    <row r="35" spans="1:18" ht="12.75">
      <c r="A35" s="265" t="s">
        <v>83</v>
      </c>
      <c r="B35" s="301">
        <v>9892</v>
      </c>
      <c r="C35" s="301">
        <v>12003</v>
      </c>
      <c r="D35" s="301">
        <v>16937</v>
      </c>
      <c r="E35" s="301">
        <v>18141</v>
      </c>
      <c r="F35" s="301">
        <v>20104</v>
      </c>
      <c r="G35" s="301">
        <v>19339</v>
      </c>
      <c r="H35" s="301">
        <v>15900</v>
      </c>
      <c r="I35" s="301">
        <v>13474</v>
      </c>
      <c r="J35" s="301">
        <v>12712</v>
      </c>
      <c r="K35" s="301">
        <v>11580</v>
      </c>
      <c r="L35" s="301">
        <v>10029</v>
      </c>
      <c r="M35" s="301">
        <v>9081</v>
      </c>
      <c r="N35" s="301">
        <v>8545</v>
      </c>
      <c r="O35" s="301">
        <v>8272</v>
      </c>
      <c r="P35" s="301">
        <v>8615</v>
      </c>
      <c r="Q35" s="301">
        <v>9179</v>
      </c>
      <c r="R35" s="316">
        <f t="shared" si="0"/>
        <v>0.06546720835751596</v>
      </c>
    </row>
    <row r="36" spans="1:18" ht="12.75">
      <c r="A36" s="96" t="s">
        <v>64</v>
      </c>
      <c r="B36" s="97">
        <v>9017</v>
      </c>
      <c r="C36" s="97">
        <v>9098</v>
      </c>
      <c r="D36" s="97">
        <v>9296</v>
      </c>
      <c r="E36" s="97">
        <v>10696</v>
      </c>
      <c r="F36" s="97">
        <v>11146</v>
      </c>
      <c r="G36" s="97">
        <v>10959</v>
      </c>
      <c r="H36" s="97">
        <v>9245</v>
      </c>
      <c r="I36" s="97">
        <v>8935</v>
      </c>
      <c r="J36" s="97">
        <v>9119</v>
      </c>
      <c r="K36" s="97">
        <v>9922</v>
      </c>
      <c r="L36" s="97">
        <v>7893</v>
      </c>
      <c r="M36" s="97">
        <v>8873</v>
      </c>
      <c r="N36" s="97">
        <v>8409</v>
      </c>
      <c r="O36" s="97">
        <v>8535</v>
      </c>
      <c r="P36" s="97">
        <v>7956</v>
      </c>
      <c r="Q36" s="97">
        <v>8085</v>
      </c>
      <c r="R36" s="315">
        <f t="shared" si="0"/>
        <v>0.016214177978883863</v>
      </c>
    </row>
    <row r="37" spans="1:18" ht="12.75">
      <c r="A37" s="265" t="s">
        <v>61</v>
      </c>
      <c r="B37" s="301">
        <v>10748</v>
      </c>
      <c r="C37" s="301">
        <v>9386</v>
      </c>
      <c r="D37" s="301">
        <v>9906</v>
      </c>
      <c r="E37" s="301">
        <v>11408</v>
      </c>
      <c r="F37" s="301">
        <v>14757</v>
      </c>
      <c r="G37" s="301">
        <v>14584</v>
      </c>
      <c r="H37" s="301">
        <v>12746</v>
      </c>
      <c r="I37" s="301">
        <v>12711</v>
      </c>
      <c r="J37" s="301">
        <v>11970</v>
      </c>
      <c r="K37" s="301">
        <v>9268</v>
      </c>
      <c r="L37" s="301">
        <v>7597</v>
      </c>
      <c r="M37" s="301">
        <v>7039</v>
      </c>
      <c r="N37" s="301">
        <v>7051</v>
      </c>
      <c r="O37" s="301">
        <v>7269</v>
      </c>
      <c r="P37" s="301">
        <v>7965</v>
      </c>
      <c r="Q37" s="301">
        <v>8991</v>
      </c>
      <c r="R37" s="316">
        <f t="shared" si="0"/>
        <v>0.1288135593220339</v>
      </c>
    </row>
    <row r="38" spans="1:18" ht="12.75">
      <c r="A38" s="96" t="s">
        <v>72</v>
      </c>
      <c r="B38" s="97">
        <v>8097</v>
      </c>
      <c r="C38" s="97">
        <v>8792</v>
      </c>
      <c r="D38" s="97">
        <v>9390</v>
      </c>
      <c r="E38" s="97">
        <v>9221</v>
      </c>
      <c r="F38" s="97">
        <v>10900</v>
      </c>
      <c r="G38" s="97">
        <v>9604</v>
      </c>
      <c r="H38" s="97">
        <v>8627</v>
      </c>
      <c r="I38" s="97">
        <v>7074</v>
      </c>
      <c r="J38" s="97">
        <v>7273</v>
      </c>
      <c r="K38" s="97">
        <v>6330</v>
      </c>
      <c r="L38" s="97">
        <v>5812</v>
      </c>
      <c r="M38" s="97">
        <v>6555</v>
      </c>
      <c r="N38" s="97">
        <v>6737</v>
      </c>
      <c r="O38" s="97">
        <v>7335</v>
      </c>
      <c r="P38" s="97">
        <v>7741</v>
      </c>
      <c r="Q38" s="97">
        <v>7670</v>
      </c>
      <c r="R38" s="315">
        <f t="shared" si="0"/>
        <v>-0.009171941609611161</v>
      </c>
    </row>
    <row r="39" spans="1:18" ht="12.75">
      <c r="A39" s="265" t="s">
        <v>63</v>
      </c>
      <c r="B39" s="301">
        <v>8879</v>
      </c>
      <c r="C39" s="301">
        <v>9107</v>
      </c>
      <c r="D39" s="301">
        <v>11007</v>
      </c>
      <c r="E39" s="301">
        <v>12077</v>
      </c>
      <c r="F39" s="301">
        <v>12736</v>
      </c>
      <c r="G39" s="301">
        <v>12282</v>
      </c>
      <c r="H39" s="301">
        <v>9744</v>
      </c>
      <c r="I39" s="301">
        <v>9576</v>
      </c>
      <c r="J39" s="301">
        <v>9560</v>
      </c>
      <c r="K39" s="301">
        <v>9016</v>
      </c>
      <c r="L39" s="301">
        <v>6237</v>
      </c>
      <c r="M39" s="301">
        <v>6056</v>
      </c>
      <c r="N39" s="301">
        <v>6807</v>
      </c>
      <c r="O39" s="301">
        <v>6950</v>
      </c>
      <c r="P39" s="301">
        <v>6925</v>
      </c>
      <c r="Q39" s="301">
        <v>6415</v>
      </c>
      <c r="R39" s="316">
        <f t="shared" si="0"/>
        <v>-0.0736462093862816</v>
      </c>
    </row>
    <row r="40" spans="1:18" ht="12.75">
      <c r="A40" s="96" t="s">
        <v>65</v>
      </c>
      <c r="B40" s="97">
        <v>13291</v>
      </c>
      <c r="C40" s="97">
        <v>12927</v>
      </c>
      <c r="D40" s="97">
        <v>11578</v>
      </c>
      <c r="E40" s="97">
        <v>12351</v>
      </c>
      <c r="F40" s="97">
        <v>12266</v>
      </c>
      <c r="G40" s="97">
        <v>12225</v>
      </c>
      <c r="H40" s="97">
        <v>9489</v>
      </c>
      <c r="I40" s="97">
        <v>6742</v>
      </c>
      <c r="J40" s="97">
        <v>7582</v>
      </c>
      <c r="K40" s="97">
        <v>6858</v>
      </c>
      <c r="L40" s="97">
        <v>5395</v>
      </c>
      <c r="M40" s="97">
        <v>5890</v>
      </c>
      <c r="N40" s="97">
        <v>6840</v>
      </c>
      <c r="O40" s="97">
        <v>6692</v>
      </c>
      <c r="P40" s="97">
        <v>8434</v>
      </c>
      <c r="Q40" s="97">
        <v>9755</v>
      </c>
      <c r="R40" s="315">
        <f t="shared" si="0"/>
        <v>0.1566279345506284</v>
      </c>
    </row>
    <row r="41" spans="1:18" ht="12.75">
      <c r="A41" s="265" t="s">
        <v>62</v>
      </c>
      <c r="B41" s="301">
        <v>9746</v>
      </c>
      <c r="C41" s="301">
        <v>10361</v>
      </c>
      <c r="D41" s="301">
        <v>10482</v>
      </c>
      <c r="E41" s="301">
        <v>11419</v>
      </c>
      <c r="F41" s="301">
        <v>13442</v>
      </c>
      <c r="G41" s="301">
        <v>12971</v>
      </c>
      <c r="H41" s="301">
        <v>11681</v>
      </c>
      <c r="I41" s="301">
        <v>10453</v>
      </c>
      <c r="J41" s="301">
        <v>9604</v>
      </c>
      <c r="K41" s="301">
        <v>7522</v>
      </c>
      <c r="L41" s="301">
        <v>5842</v>
      </c>
      <c r="M41" s="301">
        <v>5458</v>
      </c>
      <c r="N41" s="301">
        <v>5702</v>
      </c>
      <c r="O41" s="301">
        <v>5371</v>
      </c>
      <c r="P41" s="301">
        <v>5683</v>
      </c>
      <c r="Q41" s="301">
        <v>6422</v>
      </c>
      <c r="R41" s="316">
        <f t="shared" si="0"/>
        <v>0.1300369523139187</v>
      </c>
    </row>
    <row r="42" spans="1:18" ht="12.75">
      <c r="A42" s="96" t="s">
        <v>71</v>
      </c>
      <c r="B42" s="97">
        <v>11417</v>
      </c>
      <c r="C42" s="97">
        <v>9979</v>
      </c>
      <c r="D42" s="97">
        <v>8930</v>
      </c>
      <c r="E42" s="97">
        <v>8658</v>
      </c>
      <c r="F42" s="97">
        <v>10355</v>
      </c>
      <c r="G42" s="97">
        <v>12450</v>
      </c>
      <c r="H42" s="97">
        <v>12831</v>
      </c>
      <c r="I42" s="97">
        <v>12238</v>
      </c>
      <c r="J42" s="97">
        <v>12538</v>
      </c>
      <c r="K42" s="97">
        <v>9116</v>
      </c>
      <c r="L42" s="97">
        <v>6906</v>
      </c>
      <c r="M42" s="97">
        <v>5439</v>
      </c>
      <c r="N42" s="97">
        <v>8076</v>
      </c>
      <c r="O42" s="97">
        <v>9292</v>
      </c>
      <c r="P42" s="97">
        <v>10110</v>
      </c>
      <c r="Q42" s="97">
        <v>9584</v>
      </c>
      <c r="R42" s="315">
        <f t="shared" si="0"/>
        <v>-0.052027695351137486</v>
      </c>
    </row>
    <row r="43" spans="1:18" ht="12.75">
      <c r="A43" s="265" t="s">
        <v>60</v>
      </c>
      <c r="B43" s="301">
        <v>8912</v>
      </c>
      <c r="C43" s="301">
        <v>11386</v>
      </c>
      <c r="D43" s="301">
        <v>12056</v>
      </c>
      <c r="E43" s="301">
        <v>11586</v>
      </c>
      <c r="F43" s="301">
        <v>14094</v>
      </c>
      <c r="G43" s="301">
        <v>13002</v>
      </c>
      <c r="H43" s="301">
        <v>9233</v>
      </c>
      <c r="I43" s="301">
        <v>8969</v>
      </c>
      <c r="J43" s="301">
        <v>9079</v>
      </c>
      <c r="K43" s="301">
        <v>6520</v>
      </c>
      <c r="L43" s="301">
        <v>4591</v>
      </c>
      <c r="M43" s="301">
        <v>4388</v>
      </c>
      <c r="N43" s="301">
        <v>4657</v>
      </c>
      <c r="O43" s="301">
        <v>4419</v>
      </c>
      <c r="P43" s="301">
        <v>5089</v>
      </c>
      <c r="Q43" s="301">
        <v>5032</v>
      </c>
      <c r="R43" s="316">
        <f t="shared" si="0"/>
        <v>-0.011200628807231282</v>
      </c>
    </row>
    <row r="44" spans="1:18" ht="12.75">
      <c r="A44" s="96" t="s">
        <v>66</v>
      </c>
      <c r="B44" s="99">
        <v>3810</v>
      </c>
      <c r="C44" s="99">
        <v>4082</v>
      </c>
      <c r="D44" s="97">
        <v>4300</v>
      </c>
      <c r="E44" s="97">
        <v>4550</v>
      </c>
      <c r="F44" s="97">
        <v>4790</v>
      </c>
      <c r="G44" s="97">
        <v>4775</v>
      </c>
      <c r="H44" s="97">
        <v>4341</v>
      </c>
      <c r="I44" s="97">
        <v>4142</v>
      </c>
      <c r="J44" s="97">
        <v>4674</v>
      </c>
      <c r="K44" s="97">
        <v>4248</v>
      </c>
      <c r="L44" s="97">
        <v>3898</v>
      </c>
      <c r="M44" s="97">
        <v>3674</v>
      </c>
      <c r="N44" s="97">
        <v>3615</v>
      </c>
      <c r="O44" s="97">
        <v>3665</v>
      </c>
      <c r="P44" s="97">
        <v>4190</v>
      </c>
      <c r="Q44" s="97">
        <v>5114</v>
      </c>
      <c r="R44" s="315">
        <f t="shared" si="0"/>
        <v>0.22052505966587113</v>
      </c>
    </row>
    <row r="45" spans="1:18" ht="12.75">
      <c r="A45" s="265" t="s">
        <v>85</v>
      </c>
      <c r="B45" s="301" t="s">
        <v>76</v>
      </c>
      <c r="C45" s="301" t="s">
        <v>76</v>
      </c>
      <c r="D45" s="301" t="s">
        <v>76</v>
      </c>
      <c r="E45" s="301" t="s">
        <v>76</v>
      </c>
      <c r="F45" s="306" t="s">
        <v>76</v>
      </c>
      <c r="G45" s="301">
        <v>1501</v>
      </c>
      <c r="H45" s="301">
        <v>3569</v>
      </c>
      <c r="I45" s="301">
        <v>3559</v>
      </c>
      <c r="J45" s="301">
        <v>3961</v>
      </c>
      <c r="K45" s="301">
        <v>2904</v>
      </c>
      <c r="L45" s="301">
        <v>2305</v>
      </c>
      <c r="M45" s="301">
        <v>2418</v>
      </c>
      <c r="N45" s="301">
        <v>2167</v>
      </c>
      <c r="O45" s="301">
        <v>1750</v>
      </c>
      <c r="P45" s="301">
        <v>2364</v>
      </c>
      <c r="Q45" s="301">
        <v>2111</v>
      </c>
      <c r="R45" s="316">
        <f t="shared" si="0"/>
        <v>-0.10702199661590525</v>
      </c>
    </row>
    <row r="46" spans="1:18" ht="12.75">
      <c r="A46" s="96" t="s">
        <v>68</v>
      </c>
      <c r="B46" s="97">
        <v>10374</v>
      </c>
      <c r="C46" s="97">
        <v>8230</v>
      </c>
      <c r="D46" s="97">
        <v>4451</v>
      </c>
      <c r="E46" s="97">
        <v>4434</v>
      </c>
      <c r="F46" s="97">
        <v>4181</v>
      </c>
      <c r="G46" s="97">
        <v>4033</v>
      </c>
      <c r="H46" s="97">
        <v>3781</v>
      </c>
      <c r="I46" s="97">
        <v>3411</v>
      </c>
      <c r="J46" s="97">
        <v>2957</v>
      </c>
      <c r="K46" s="97">
        <v>2283</v>
      </c>
      <c r="L46" s="97">
        <v>1414</v>
      </c>
      <c r="M46" s="97">
        <v>1838</v>
      </c>
      <c r="N46" s="97">
        <v>1525</v>
      </c>
      <c r="O46" s="97">
        <v>1563</v>
      </c>
      <c r="P46" s="97">
        <v>1865</v>
      </c>
      <c r="Q46" s="97">
        <v>1983</v>
      </c>
      <c r="R46" s="315">
        <f t="shared" si="0"/>
        <v>0.06327077747989276</v>
      </c>
    </row>
    <row r="47" spans="1:18" ht="12.75">
      <c r="A47" s="265" t="s">
        <v>70</v>
      </c>
      <c r="B47" s="301">
        <v>3372</v>
      </c>
      <c r="C47" s="301">
        <v>3346</v>
      </c>
      <c r="D47" s="301">
        <v>3396</v>
      </c>
      <c r="E47" s="301">
        <v>3385</v>
      </c>
      <c r="F47" s="301">
        <v>3466</v>
      </c>
      <c r="G47" s="301">
        <v>3393</v>
      </c>
      <c r="H47" s="301">
        <v>1917</v>
      </c>
      <c r="I47" s="301">
        <v>1776</v>
      </c>
      <c r="J47" s="301">
        <v>1769</v>
      </c>
      <c r="K47" s="301">
        <v>1839</v>
      </c>
      <c r="L47" s="301">
        <v>1703</v>
      </c>
      <c r="M47" s="301">
        <v>1718</v>
      </c>
      <c r="N47" s="301">
        <v>1818</v>
      </c>
      <c r="O47" s="301">
        <v>1840</v>
      </c>
      <c r="P47" s="301">
        <v>1854</v>
      </c>
      <c r="Q47" s="301">
        <v>2652</v>
      </c>
      <c r="R47" s="316">
        <f t="shared" si="0"/>
        <v>0.43042071197411</v>
      </c>
    </row>
    <row r="48" spans="1:18" ht="12.75">
      <c r="A48" s="96" t="s">
        <v>67</v>
      </c>
      <c r="B48" s="97">
        <v>3148</v>
      </c>
      <c r="C48" s="97">
        <v>5241</v>
      </c>
      <c r="D48" s="97">
        <v>5279</v>
      </c>
      <c r="E48" s="97">
        <v>6305</v>
      </c>
      <c r="F48" s="97">
        <v>7333</v>
      </c>
      <c r="G48" s="97">
        <v>5705</v>
      </c>
      <c r="H48" s="97">
        <v>4767</v>
      </c>
      <c r="I48" s="97">
        <v>4770</v>
      </c>
      <c r="J48" s="97">
        <v>4461</v>
      </c>
      <c r="K48" s="97">
        <v>2630</v>
      </c>
      <c r="L48" s="97">
        <v>1962</v>
      </c>
      <c r="M48" s="97">
        <v>1396</v>
      </c>
      <c r="N48" s="97">
        <v>1885</v>
      </c>
      <c r="O48" s="97">
        <v>1814</v>
      </c>
      <c r="P48" s="97">
        <v>2236</v>
      </c>
      <c r="Q48" s="97">
        <v>2605</v>
      </c>
      <c r="R48" s="315">
        <f t="shared" si="0"/>
        <v>0.1650268336314848</v>
      </c>
    </row>
    <row r="49" spans="1:18" ht="12.75">
      <c r="A49" s="265" t="s">
        <v>69</v>
      </c>
      <c r="B49" s="301">
        <v>1624</v>
      </c>
      <c r="C49" s="301">
        <v>2509</v>
      </c>
      <c r="D49" s="301">
        <v>3064</v>
      </c>
      <c r="E49" s="301">
        <v>3334</v>
      </c>
      <c r="F49" s="301">
        <v>3705</v>
      </c>
      <c r="G49" s="301">
        <v>3903</v>
      </c>
      <c r="H49" s="301">
        <v>5023</v>
      </c>
      <c r="I49" s="301">
        <v>3634</v>
      </c>
      <c r="J49" s="301">
        <v>2734</v>
      </c>
      <c r="K49" s="301">
        <v>2630</v>
      </c>
      <c r="L49" s="301">
        <v>1199</v>
      </c>
      <c r="M49" s="301">
        <v>1217</v>
      </c>
      <c r="N49" s="301">
        <v>1359</v>
      </c>
      <c r="O49" s="301">
        <v>1306</v>
      </c>
      <c r="P49" s="301">
        <v>1446</v>
      </c>
      <c r="Q49" s="301">
        <v>1376</v>
      </c>
      <c r="R49" s="316">
        <f t="shared" si="0"/>
        <v>-0.048409405255878286</v>
      </c>
    </row>
    <row r="50" spans="1:18" ht="12.75">
      <c r="A50" s="96" t="s">
        <v>84</v>
      </c>
      <c r="B50" s="99">
        <v>0</v>
      </c>
      <c r="C50" s="97">
        <v>1981</v>
      </c>
      <c r="D50" s="97">
        <v>2656</v>
      </c>
      <c r="E50" s="97">
        <v>2596</v>
      </c>
      <c r="F50" s="97">
        <v>2740</v>
      </c>
      <c r="G50" s="97">
        <v>2944</v>
      </c>
      <c r="H50" s="97">
        <v>2442</v>
      </c>
      <c r="I50" s="97">
        <v>3564</v>
      </c>
      <c r="J50" s="97">
        <v>5129</v>
      </c>
      <c r="K50" s="97">
        <v>2494</v>
      </c>
      <c r="L50" s="97">
        <v>1324</v>
      </c>
      <c r="M50" s="97">
        <v>1080</v>
      </c>
      <c r="N50" s="97">
        <v>281</v>
      </c>
      <c r="O50" s="97">
        <v>476</v>
      </c>
      <c r="P50" s="97">
        <v>2522</v>
      </c>
      <c r="Q50" s="97">
        <v>5214</v>
      </c>
      <c r="R50" s="315">
        <f t="shared" si="0"/>
        <v>1.0674068199841396</v>
      </c>
    </row>
    <row r="51" spans="1:18" ht="12.75">
      <c r="A51" s="265" t="s">
        <v>81</v>
      </c>
      <c r="B51" s="307" t="s">
        <v>76</v>
      </c>
      <c r="C51" s="307" t="s">
        <v>76</v>
      </c>
      <c r="D51" s="307" t="s">
        <v>76</v>
      </c>
      <c r="E51" s="307" t="s">
        <v>76</v>
      </c>
      <c r="F51" s="301">
        <v>9380</v>
      </c>
      <c r="G51" s="301">
        <v>19415</v>
      </c>
      <c r="H51" s="301">
        <v>21446</v>
      </c>
      <c r="I51" s="301">
        <v>11390</v>
      </c>
      <c r="J51" s="301">
        <v>3452</v>
      </c>
      <c r="K51" s="301">
        <v>2446</v>
      </c>
      <c r="L51" s="301">
        <v>1637</v>
      </c>
      <c r="M51" s="301">
        <v>885</v>
      </c>
      <c r="N51" s="301">
        <v>2633</v>
      </c>
      <c r="O51" s="301">
        <v>4684</v>
      </c>
      <c r="P51" s="301">
        <v>7762</v>
      </c>
      <c r="Q51" s="301">
        <v>9477</v>
      </c>
      <c r="R51" s="316">
        <f t="shared" si="0"/>
        <v>0.2209482092244267</v>
      </c>
    </row>
    <row r="52" spans="1:18" ht="12.75">
      <c r="A52" s="96" t="s">
        <v>73</v>
      </c>
      <c r="B52" s="97">
        <v>257</v>
      </c>
      <c r="C52" s="97">
        <v>1309</v>
      </c>
      <c r="D52" s="97">
        <v>1185</v>
      </c>
      <c r="E52" s="97">
        <v>1347</v>
      </c>
      <c r="F52" s="97">
        <v>1856</v>
      </c>
      <c r="G52" s="97">
        <v>2113</v>
      </c>
      <c r="H52" s="97">
        <v>1419</v>
      </c>
      <c r="I52" s="97">
        <v>1243</v>
      </c>
      <c r="J52" s="97">
        <v>937</v>
      </c>
      <c r="K52" s="97">
        <v>798</v>
      </c>
      <c r="L52" s="97">
        <v>473</v>
      </c>
      <c r="M52" s="97">
        <v>541</v>
      </c>
      <c r="N52" s="97">
        <v>411</v>
      </c>
      <c r="O52" s="97">
        <v>408</v>
      </c>
      <c r="P52" s="97">
        <v>432</v>
      </c>
      <c r="Q52" s="97">
        <v>423</v>
      </c>
      <c r="R52" s="315">
        <f t="shared" si="0"/>
        <v>-0.020833333333333332</v>
      </c>
    </row>
    <row r="53" spans="1:18" ht="12.75">
      <c r="A53" s="265" t="s">
        <v>99</v>
      </c>
      <c r="B53" s="307" t="s">
        <v>76</v>
      </c>
      <c r="C53" s="307" t="s">
        <v>76</v>
      </c>
      <c r="D53" s="307" t="s">
        <v>76</v>
      </c>
      <c r="E53" s="307" t="s">
        <v>76</v>
      </c>
      <c r="F53" s="307" t="s">
        <v>76</v>
      </c>
      <c r="G53" s="307" t="s">
        <v>76</v>
      </c>
      <c r="H53" s="307" t="s">
        <v>76</v>
      </c>
      <c r="I53" s="307">
        <v>1340</v>
      </c>
      <c r="J53" s="307">
        <v>2636</v>
      </c>
      <c r="K53" s="307">
        <v>1106</v>
      </c>
      <c r="L53" s="307">
        <v>682</v>
      </c>
      <c r="M53" s="301">
        <v>300</v>
      </c>
      <c r="N53" s="301">
        <v>28</v>
      </c>
      <c r="O53" s="301">
        <v>84</v>
      </c>
      <c r="P53" s="301">
        <v>1376</v>
      </c>
      <c r="Q53" s="301">
        <v>2992</v>
      </c>
      <c r="R53" s="316">
        <f t="shared" si="0"/>
        <v>1.1744186046511629</v>
      </c>
    </row>
    <row r="54" spans="1:19" ht="12.75">
      <c r="A54" s="96" t="s">
        <v>79</v>
      </c>
      <c r="B54" s="97">
        <v>9210</v>
      </c>
      <c r="C54" s="97">
        <v>11350</v>
      </c>
      <c r="D54" s="97">
        <v>13063</v>
      </c>
      <c r="E54" s="97">
        <v>15246</v>
      </c>
      <c r="F54" s="97">
        <v>17062</v>
      </c>
      <c r="G54" s="97">
        <v>15300</v>
      </c>
      <c r="H54" s="97">
        <v>11874</v>
      </c>
      <c r="I54" s="97">
        <v>12417</v>
      </c>
      <c r="J54" s="97">
        <v>11489</v>
      </c>
      <c r="K54" s="97">
        <v>11220</v>
      </c>
      <c r="L54" s="97">
        <v>764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314"/>
      <c r="S54" s="99"/>
    </row>
    <row r="55" spans="1:18" ht="12.75">
      <c r="A55" s="100"/>
      <c r="B55" s="101"/>
      <c r="C55" s="101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3"/>
    </row>
    <row r="56" spans="1:18" ht="12.75">
      <c r="A56" s="308" t="s">
        <v>1</v>
      </c>
      <c r="B56" s="309">
        <f aca="true" t="shared" si="1" ref="B56:H56">SUM(B6:B53)</f>
        <v>1959614</v>
      </c>
      <c r="C56" s="309">
        <f t="shared" si="1"/>
        <v>2045610</v>
      </c>
      <c r="D56" s="309">
        <f t="shared" si="1"/>
        <v>2197386</v>
      </c>
      <c r="E56" s="309">
        <f t="shared" si="1"/>
        <v>2303279</v>
      </c>
      <c r="F56" s="309">
        <f t="shared" si="1"/>
        <v>2484475</v>
      </c>
      <c r="G56" s="309">
        <f t="shared" si="1"/>
        <v>2404772</v>
      </c>
      <c r="H56" s="309">
        <f t="shared" si="1"/>
        <v>2155731</v>
      </c>
      <c r="I56" s="309">
        <f>SUM(I6:I54)</f>
        <v>2116512</v>
      </c>
      <c r="J56" s="309">
        <v>2140308</v>
      </c>
      <c r="K56" s="309">
        <v>1924668</v>
      </c>
      <c r="L56" s="309">
        <v>1790861</v>
      </c>
      <c r="M56" s="309">
        <f>SUM(M6:M54)</f>
        <v>1832711</v>
      </c>
      <c r="N56" s="309">
        <v>1902967</v>
      </c>
      <c r="O56" s="309">
        <v>2045034</v>
      </c>
      <c r="P56" s="309">
        <v>2174263</v>
      </c>
      <c r="Q56" s="309">
        <v>2300189</v>
      </c>
      <c r="R56" s="310">
        <f>(Q56-P56)/P56</f>
        <v>0.057916636579843375</v>
      </c>
    </row>
    <row r="57" spans="1:18" s="161" customFormat="1" ht="12.75">
      <c r="A57" s="162" t="s">
        <v>77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4"/>
    </row>
    <row r="58" spans="5:18" ht="12.75"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8"/>
    </row>
    <row r="59" spans="5:18" ht="12.75"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8"/>
    </row>
    <row r="60" spans="5:18" ht="12.75"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8"/>
    </row>
    <row r="61" spans="5:18" ht="12.75"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8"/>
    </row>
    <row r="62" spans="5:18" ht="12.75"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8"/>
    </row>
    <row r="63" spans="5:18" ht="12.75"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8"/>
    </row>
    <row r="64" spans="5:18" ht="12.75"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8"/>
    </row>
    <row r="65" spans="5:18" ht="12.75"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8"/>
    </row>
    <row r="66" spans="5:18" ht="12.75"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8"/>
    </row>
    <row r="67" spans="5:18" ht="12.75"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8"/>
    </row>
    <row r="68" spans="5:18" ht="12.75"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8"/>
    </row>
    <row r="69" spans="5:18" ht="12.75"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8"/>
    </row>
    <row r="70" spans="5:18" ht="12.75"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8"/>
    </row>
    <row r="71" spans="5:18" ht="12.75"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8"/>
    </row>
    <row r="72" spans="5:18" ht="12.75"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8"/>
    </row>
    <row r="73" spans="5:18" ht="12.75"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8"/>
    </row>
    <row r="74" spans="5:18" ht="12.75"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8"/>
    </row>
    <row r="75" spans="5:18" ht="12.75"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8"/>
    </row>
    <row r="76" spans="5:18" ht="12.75"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8"/>
    </row>
    <row r="77" spans="5:18" ht="12.75"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8"/>
    </row>
    <row r="78" spans="5:18" ht="12.75"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8"/>
    </row>
    <row r="79" spans="5:18" ht="12.75"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8"/>
    </row>
    <row r="80" spans="5:18" ht="12.75"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8"/>
    </row>
    <row r="81" spans="5:18" ht="12.75"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8"/>
    </row>
    <row r="82" spans="5:18" ht="12.75"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8"/>
    </row>
    <row r="83" spans="5:18" ht="12.75"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8"/>
    </row>
    <row r="84" spans="5:18" ht="12.75"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8"/>
    </row>
    <row r="85" spans="5:18" ht="12.75"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8"/>
    </row>
    <row r="86" spans="5:18" ht="12.75"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8"/>
    </row>
    <row r="87" spans="5:18" ht="12.75"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8"/>
    </row>
    <row r="88" spans="5:18" ht="12.75"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8"/>
    </row>
    <row r="89" spans="5:18" ht="12.75"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8"/>
    </row>
    <row r="90" spans="5:18" ht="12.75"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8"/>
    </row>
    <row r="91" spans="5:18" ht="12.75"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8"/>
    </row>
    <row r="92" spans="5:18" ht="12.75"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8"/>
    </row>
    <row r="93" spans="5:18" ht="12.75"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8"/>
    </row>
    <row r="94" spans="5:18" ht="12.75"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8"/>
    </row>
    <row r="95" ht="12.75">
      <c r="R95" s="107"/>
    </row>
    <row r="96" ht="12.75">
      <c r="R96" s="107"/>
    </row>
    <row r="97" ht="12.75">
      <c r="R97" s="107"/>
    </row>
  </sheetData>
  <sheetProtection/>
  <mergeCells count="1">
    <mergeCell ref="R3:R4"/>
  </mergeCells>
  <printOptions/>
  <pageMargins left="0.7086614173228347" right="0.31496062992125984" top="0.7480314960629921" bottom="0.1968503937007874" header="0.31496062992125984" footer="0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1" width="24.57421875" style="95" customWidth="1"/>
    <col min="2" max="5" width="11.421875" style="95" hidden="1" customWidth="1"/>
    <col min="6" max="17" width="11.421875" style="95" customWidth="1"/>
    <col min="18" max="18" width="8.8515625" style="95" customWidth="1"/>
    <col min="19" max="19" width="15.7109375" style="95" customWidth="1"/>
    <col min="20" max="16384" width="9.140625" style="95" customWidth="1"/>
  </cols>
  <sheetData>
    <row r="1" spans="1:4" ht="15">
      <c r="A1" s="94" t="s">
        <v>241</v>
      </c>
      <c r="B1" s="94"/>
      <c r="C1" s="94"/>
      <c r="D1" s="94"/>
    </row>
    <row r="2" spans="1:4" ht="15">
      <c r="A2" s="94"/>
      <c r="B2" s="94"/>
      <c r="C2" s="94"/>
      <c r="D2" s="94"/>
    </row>
    <row r="3" spans="1:18" ht="12.75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61" t="s">
        <v>236</v>
      </c>
    </row>
    <row r="4" spans="1:18" ht="27" customHeight="1">
      <c r="A4" s="312" t="s">
        <v>42</v>
      </c>
      <c r="B4" s="313">
        <v>2003</v>
      </c>
      <c r="C4" s="313">
        <v>2004</v>
      </c>
      <c r="D4" s="313">
        <v>2005</v>
      </c>
      <c r="E4" s="313">
        <v>2006</v>
      </c>
      <c r="F4" s="313">
        <v>2007</v>
      </c>
      <c r="G4" s="313">
        <v>2008</v>
      </c>
      <c r="H4" s="313">
        <v>2009</v>
      </c>
      <c r="I4" s="313">
        <v>2010</v>
      </c>
      <c r="J4" s="313">
        <v>2011</v>
      </c>
      <c r="K4" s="313">
        <v>2012</v>
      </c>
      <c r="L4" s="313">
        <v>2013</v>
      </c>
      <c r="M4" s="313">
        <v>2014</v>
      </c>
      <c r="N4" s="313">
        <v>2015</v>
      </c>
      <c r="O4" s="313">
        <v>2016</v>
      </c>
      <c r="P4" s="313">
        <v>2017</v>
      </c>
      <c r="Q4" s="313">
        <v>2018</v>
      </c>
      <c r="R4" s="362"/>
    </row>
    <row r="6" spans="1:18" ht="12.75">
      <c r="A6" s="265" t="s">
        <v>171</v>
      </c>
      <c r="B6" s="301">
        <v>35855861</v>
      </c>
      <c r="C6" s="301">
        <v>38718614</v>
      </c>
      <c r="D6" s="301">
        <v>42146784</v>
      </c>
      <c r="E6" s="301">
        <v>45799983</v>
      </c>
      <c r="F6" s="301">
        <v>52110787</v>
      </c>
      <c r="G6" s="301">
        <v>50846494</v>
      </c>
      <c r="H6" s="301">
        <v>48270581</v>
      </c>
      <c r="I6" s="301">
        <v>49863504</v>
      </c>
      <c r="J6" s="301">
        <v>49671270</v>
      </c>
      <c r="K6" s="301">
        <v>45195014</v>
      </c>
      <c r="L6" s="301">
        <v>39729027</v>
      </c>
      <c r="M6" s="301">
        <v>41833374</v>
      </c>
      <c r="N6" s="301">
        <v>46824838</v>
      </c>
      <c r="O6" s="301">
        <v>50420583</v>
      </c>
      <c r="P6" s="301">
        <v>53402506</v>
      </c>
      <c r="Q6" s="301">
        <v>57891340</v>
      </c>
      <c r="R6" s="302">
        <f>(Q6-P6)/P6</f>
        <v>0.08405661711830527</v>
      </c>
    </row>
    <row r="7" spans="1:18" ht="12.75">
      <c r="A7" s="96" t="s">
        <v>172</v>
      </c>
      <c r="B7" s="97">
        <v>22752667</v>
      </c>
      <c r="C7" s="97">
        <v>24558138</v>
      </c>
      <c r="D7" s="97">
        <v>27152745</v>
      </c>
      <c r="E7" s="97">
        <v>30008302</v>
      </c>
      <c r="F7" s="97">
        <v>32898249</v>
      </c>
      <c r="G7" s="97">
        <v>30272084</v>
      </c>
      <c r="H7" s="97">
        <v>27311765</v>
      </c>
      <c r="I7" s="97">
        <v>29209595</v>
      </c>
      <c r="J7" s="97">
        <v>34398226</v>
      </c>
      <c r="K7" s="97">
        <v>35145176</v>
      </c>
      <c r="L7" s="97">
        <v>35210735</v>
      </c>
      <c r="M7" s="97">
        <v>37559044</v>
      </c>
      <c r="N7" s="97">
        <v>39711237</v>
      </c>
      <c r="O7" s="97">
        <v>44154693</v>
      </c>
      <c r="P7" s="97">
        <v>47284500</v>
      </c>
      <c r="Q7" s="97">
        <v>50172457</v>
      </c>
      <c r="R7" s="98">
        <f aca="true" t="shared" si="0" ref="R7:R53">(Q7-P7)/P7</f>
        <v>0.06107618775708742</v>
      </c>
    </row>
    <row r="8" spans="1:18" ht="12.75">
      <c r="A8" s="265" t="s">
        <v>43</v>
      </c>
      <c r="B8" s="301">
        <v>19185919</v>
      </c>
      <c r="C8" s="301">
        <v>20416083</v>
      </c>
      <c r="D8" s="301">
        <v>21240736</v>
      </c>
      <c r="E8" s="301">
        <v>22408427</v>
      </c>
      <c r="F8" s="301">
        <v>23228879</v>
      </c>
      <c r="G8" s="301">
        <v>22832857</v>
      </c>
      <c r="H8" s="301">
        <v>21203028</v>
      </c>
      <c r="I8" s="301">
        <v>21117270</v>
      </c>
      <c r="J8" s="301">
        <v>22726707</v>
      </c>
      <c r="K8" s="301">
        <v>22666682</v>
      </c>
      <c r="L8" s="301">
        <v>22768082</v>
      </c>
      <c r="M8" s="301">
        <v>23115499</v>
      </c>
      <c r="N8" s="301">
        <v>23745023</v>
      </c>
      <c r="O8" s="301">
        <v>26253882</v>
      </c>
      <c r="P8" s="301">
        <v>27970655</v>
      </c>
      <c r="Q8" s="301">
        <v>29081787</v>
      </c>
      <c r="R8" s="302">
        <f t="shared" si="0"/>
        <v>0.039724918847985506</v>
      </c>
    </row>
    <row r="9" spans="1:18" ht="12.75">
      <c r="A9" s="96" t="s">
        <v>175</v>
      </c>
      <c r="B9" s="97">
        <v>11566616</v>
      </c>
      <c r="C9" s="97">
        <v>12046277</v>
      </c>
      <c r="D9" s="97">
        <v>12669019</v>
      </c>
      <c r="E9" s="97">
        <v>13076252</v>
      </c>
      <c r="F9" s="97">
        <v>13590803</v>
      </c>
      <c r="G9" s="97">
        <v>12813472</v>
      </c>
      <c r="H9" s="97">
        <v>11622443</v>
      </c>
      <c r="I9" s="97">
        <v>12064616</v>
      </c>
      <c r="J9" s="97">
        <v>12823117</v>
      </c>
      <c r="K9" s="97">
        <v>12582191</v>
      </c>
      <c r="L9" s="97">
        <v>12922403</v>
      </c>
      <c r="M9" s="97">
        <v>13749134</v>
      </c>
      <c r="N9" s="97">
        <v>14404206</v>
      </c>
      <c r="O9" s="97">
        <v>16672776</v>
      </c>
      <c r="P9" s="97">
        <v>18628876</v>
      </c>
      <c r="Q9" s="97">
        <v>19021704</v>
      </c>
      <c r="R9" s="98">
        <f t="shared" si="0"/>
        <v>0.021087047871272534</v>
      </c>
    </row>
    <row r="10" spans="1:18" ht="12.75">
      <c r="A10" s="265" t="s">
        <v>89</v>
      </c>
      <c r="B10" s="301">
        <v>9181229</v>
      </c>
      <c r="C10" s="301">
        <v>9467494</v>
      </c>
      <c r="D10" s="301">
        <v>9827157</v>
      </c>
      <c r="E10" s="301">
        <v>10286726</v>
      </c>
      <c r="F10" s="301">
        <v>10354903</v>
      </c>
      <c r="G10" s="301">
        <v>10212123</v>
      </c>
      <c r="H10" s="301">
        <v>9155670</v>
      </c>
      <c r="I10" s="301">
        <v>9486035</v>
      </c>
      <c r="J10" s="301">
        <v>10538829</v>
      </c>
      <c r="K10" s="301">
        <v>9892288</v>
      </c>
      <c r="L10" s="301">
        <v>9770253</v>
      </c>
      <c r="M10" s="301">
        <v>10315732</v>
      </c>
      <c r="N10" s="301">
        <v>10627218</v>
      </c>
      <c r="O10" s="301">
        <v>12093645</v>
      </c>
      <c r="P10" s="301">
        <v>13092117</v>
      </c>
      <c r="Q10" s="301">
        <v>13573242</v>
      </c>
      <c r="R10" s="302">
        <f t="shared" si="0"/>
        <v>0.03674921328613241</v>
      </c>
    </row>
    <row r="11" spans="1:18" ht="12.75">
      <c r="A11" s="96" t="s">
        <v>176</v>
      </c>
      <c r="B11" s="97">
        <v>8195453</v>
      </c>
      <c r="C11" s="97">
        <v>8571144</v>
      </c>
      <c r="D11" s="97">
        <v>8795705</v>
      </c>
      <c r="E11" s="97">
        <v>8893720</v>
      </c>
      <c r="F11" s="97">
        <v>9120631</v>
      </c>
      <c r="G11" s="97">
        <v>9578304</v>
      </c>
      <c r="H11" s="97">
        <v>9139607</v>
      </c>
      <c r="I11" s="97">
        <v>9382935</v>
      </c>
      <c r="J11" s="97">
        <v>9913731</v>
      </c>
      <c r="K11" s="97">
        <v>8855441</v>
      </c>
      <c r="L11" s="97">
        <v>9638860</v>
      </c>
      <c r="M11" s="97">
        <v>10065873</v>
      </c>
      <c r="N11" s="97">
        <v>10575288</v>
      </c>
      <c r="O11" s="97">
        <v>12344945</v>
      </c>
      <c r="P11" s="97">
        <v>13713061</v>
      </c>
      <c r="Q11" s="97">
        <v>13981320</v>
      </c>
      <c r="R11" s="98">
        <f t="shared" si="0"/>
        <v>0.01956229903739216</v>
      </c>
    </row>
    <row r="12" spans="1:18" ht="12.75">
      <c r="A12" s="265" t="s">
        <v>44</v>
      </c>
      <c r="B12" s="301">
        <v>8852878</v>
      </c>
      <c r="C12" s="301">
        <v>8632178</v>
      </c>
      <c r="D12" s="301">
        <v>8631923</v>
      </c>
      <c r="E12" s="301">
        <v>8845668</v>
      </c>
      <c r="F12" s="301">
        <v>8639341</v>
      </c>
      <c r="G12" s="301">
        <v>8251989</v>
      </c>
      <c r="H12" s="301">
        <v>7108073</v>
      </c>
      <c r="I12" s="301">
        <v>7359150</v>
      </c>
      <c r="J12" s="301">
        <v>8656487</v>
      </c>
      <c r="K12" s="301">
        <v>8530817</v>
      </c>
      <c r="L12" s="301">
        <v>8701983</v>
      </c>
      <c r="M12" s="301">
        <v>9176274</v>
      </c>
      <c r="N12" s="301">
        <v>9117514</v>
      </c>
      <c r="O12" s="301">
        <v>10472404</v>
      </c>
      <c r="P12" s="301">
        <v>11249327</v>
      </c>
      <c r="Q12" s="301">
        <v>11042481</v>
      </c>
      <c r="R12" s="302">
        <f t="shared" si="0"/>
        <v>-0.018387411086903244</v>
      </c>
    </row>
    <row r="13" spans="1:18" ht="12.75">
      <c r="A13" s="96" t="s">
        <v>46</v>
      </c>
      <c r="B13" s="97">
        <v>4157291</v>
      </c>
      <c r="C13" s="97">
        <v>4171580</v>
      </c>
      <c r="D13" s="97">
        <v>4164703</v>
      </c>
      <c r="E13" s="97">
        <v>4460143</v>
      </c>
      <c r="F13" s="97">
        <v>4765625</v>
      </c>
      <c r="G13" s="97">
        <v>4647360</v>
      </c>
      <c r="H13" s="97">
        <v>4572814</v>
      </c>
      <c r="I13" s="97">
        <v>5040800</v>
      </c>
      <c r="J13" s="97">
        <v>5643180</v>
      </c>
      <c r="K13" s="97">
        <v>5555071</v>
      </c>
      <c r="L13" s="97">
        <v>5726581</v>
      </c>
      <c r="M13" s="97">
        <v>6211882</v>
      </c>
      <c r="N13" s="97">
        <v>6477283</v>
      </c>
      <c r="O13" s="97">
        <v>7416368</v>
      </c>
      <c r="P13" s="97">
        <v>7903892</v>
      </c>
      <c r="Q13" s="97">
        <v>8104316</v>
      </c>
      <c r="R13" s="98">
        <f t="shared" si="0"/>
        <v>0.025357633935281506</v>
      </c>
    </row>
    <row r="14" spans="1:18" ht="12.75">
      <c r="A14" s="265" t="s">
        <v>45</v>
      </c>
      <c r="B14" s="301">
        <v>5383426</v>
      </c>
      <c r="C14" s="301">
        <v>5517136</v>
      </c>
      <c r="D14" s="301">
        <v>5467499</v>
      </c>
      <c r="E14" s="301">
        <v>5626087</v>
      </c>
      <c r="F14" s="301">
        <v>5625580</v>
      </c>
      <c r="G14" s="301">
        <v>5438178</v>
      </c>
      <c r="H14" s="301">
        <v>4701480</v>
      </c>
      <c r="I14" s="301">
        <v>4938632</v>
      </c>
      <c r="J14" s="301">
        <v>5543744</v>
      </c>
      <c r="K14" s="301">
        <v>5169386</v>
      </c>
      <c r="L14" s="301">
        <v>5334598</v>
      </c>
      <c r="M14" s="301">
        <v>5883039</v>
      </c>
      <c r="N14" s="301">
        <v>6128971</v>
      </c>
      <c r="O14" s="301">
        <v>6683966</v>
      </c>
      <c r="P14" s="301">
        <v>7389025</v>
      </c>
      <c r="Q14" s="301">
        <v>7327019</v>
      </c>
      <c r="R14" s="302">
        <f t="shared" si="0"/>
        <v>-0.00839163489093622</v>
      </c>
    </row>
    <row r="15" spans="1:18" ht="12.75">
      <c r="A15" s="96" t="s">
        <v>47</v>
      </c>
      <c r="B15" s="97">
        <v>3919224</v>
      </c>
      <c r="C15" s="97">
        <v>3917109</v>
      </c>
      <c r="D15" s="97">
        <v>4071875</v>
      </c>
      <c r="E15" s="97">
        <v>4458711</v>
      </c>
      <c r="F15" s="97">
        <v>4629877</v>
      </c>
      <c r="G15" s="97">
        <v>4492003</v>
      </c>
      <c r="H15" s="97">
        <v>3738492</v>
      </c>
      <c r="I15" s="97">
        <v>4173686</v>
      </c>
      <c r="J15" s="97">
        <v>4948018</v>
      </c>
      <c r="K15" s="97">
        <v>4399183</v>
      </c>
      <c r="L15" s="97">
        <v>4259341</v>
      </c>
      <c r="M15" s="97">
        <v>4764632</v>
      </c>
      <c r="N15" s="97">
        <v>5027415</v>
      </c>
      <c r="O15" s="97">
        <v>5676817</v>
      </c>
      <c r="P15" s="97">
        <v>6049401</v>
      </c>
      <c r="Q15" s="97">
        <v>6118893</v>
      </c>
      <c r="R15" s="98">
        <f t="shared" si="0"/>
        <v>0.011487418341088646</v>
      </c>
    </row>
    <row r="16" spans="1:18" ht="12.75">
      <c r="A16" s="265" t="s">
        <v>80</v>
      </c>
      <c r="B16" s="301">
        <v>2432126</v>
      </c>
      <c r="C16" s="301">
        <v>3111951</v>
      </c>
      <c r="D16" s="301">
        <v>4639314</v>
      </c>
      <c r="E16" s="301">
        <v>4969120</v>
      </c>
      <c r="F16" s="301">
        <v>5933424</v>
      </c>
      <c r="G16" s="301">
        <v>5779343</v>
      </c>
      <c r="H16" s="301">
        <v>4748981</v>
      </c>
      <c r="I16" s="301">
        <v>4934272</v>
      </c>
      <c r="J16" s="301">
        <v>4979511</v>
      </c>
      <c r="K16" s="301">
        <v>4752020</v>
      </c>
      <c r="L16" s="301">
        <v>4599990</v>
      </c>
      <c r="M16" s="301">
        <v>4592512</v>
      </c>
      <c r="N16" s="301">
        <v>5055127</v>
      </c>
      <c r="O16" s="301">
        <v>5799104</v>
      </c>
      <c r="P16" s="301">
        <v>6745394</v>
      </c>
      <c r="Q16" s="301">
        <v>7769867</v>
      </c>
      <c r="R16" s="302">
        <f t="shared" si="0"/>
        <v>0.15187741442531008</v>
      </c>
    </row>
    <row r="17" spans="1:18" ht="12.75">
      <c r="A17" s="96" t="s">
        <v>49</v>
      </c>
      <c r="B17" s="97">
        <v>2850524</v>
      </c>
      <c r="C17" s="97">
        <v>3395773</v>
      </c>
      <c r="D17" s="97">
        <v>3843953</v>
      </c>
      <c r="E17" s="97">
        <v>3876072</v>
      </c>
      <c r="F17" s="97">
        <v>4286751</v>
      </c>
      <c r="G17" s="97">
        <v>4172903</v>
      </c>
      <c r="H17" s="97">
        <v>3654951</v>
      </c>
      <c r="I17" s="97">
        <v>3888969</v>
      </c>
      <c r="J17" s="97">
        <v>4046172</v>
      </c>
      <c r="K17" s="97">
        <v>4171092</v>
      </c>
      <c r="L17" s="97">
        <v>3800789</v>
      </c>
      <c r="M17" s="97">
        <v>4015352</v>
      </c>
      <c r="N17" s="97">
        <v>4277725</v>
      </c>
      <c r="O17" s="97">
        <v>4588265</v>
      </c>
      <c r="P17" s="97">
        <v>4973712</v>
      </c>
      <c r="Q17" s="97">
        <v>5469453</v>
      </c>
      <c r="R17" s="98">
        <f t="shared" si="0"/>
        <v>0.09967223675194703</v>
      </c>
    </row>
    <row r="18" spans="1:18" ht="12.75">
      <c r="A18" s="265" t="s">
        <v>50</v>
      </c>
      <c r="B18" s="301">
        <v>2269565</v>
      </c>
      <c r="C18" s="301">
        <v>2678595</v>
      </c>
      <c r="D18" s="301">
        <v>3521112</v>
      </c>
      <c r="E18" s="301">
        <v>3871785</v>
      </c>
      <c r="F18" s="301">
        <v>4507264</v>
      </c>
      <c r="G18" s="301">
        <v>4392148</v>
      </c>
      <c r="H18" s="301">
        <v>4051268</v>
      </c>
      <c r="I18" s="301">
        <v>4224718</v>
      </c>
      <c r="J18" s="301">
        <v>4959359</v>
      </c>
      <c r="K18" s="301">
        <v>4287488</v>
      </c>
      <c r="L18" s="301">
        <v>3687727</v>
      </c>
      <c r="M18" s="301">
        <v>3884146</v>
      </c>
      <c r="N18" s="301">
        <v>4308845</v>
      </c>
      <c r="O18" s="301">
        <v>4624038</v>
      </c>
      <c r="P18" s="301">
        <v>5108807</v>
      </c>
      <c r="Q18" s="301">
        <v>6380465</v>
      </c>
      <c r="R18" s="302">
        <f t="shared" si="0"/>
        <v>0.24891486407687743</v>
      </c>
    </row>
    <row r="19" spans="1:18" ht="12.75">
      <c r="A19" s="96" t="s">
        <v>48</v>
      </c>
      <c r="B19" s="97">
        <v>2919087</v>
      </c>
      <c r="C19" s="97">
        <v>3368988</v>
      </c>
      <c r="D19" s="97">
        <v>3754513</v>
      </c>
      <c r="E19" s="97">
        <v>4025601</v>
      </c>
      <c r="F19" s="97">
        <v>4125131</v>
      </c>
      <c r="G19" s="97">
        <v>4236615</v>
      </c>
      <c r="H19" s="97">
        <v>4054147</v>
      </c>
      <c r="I19" s="97">
        <v>4051155</v>
      </c>
      <c r="J19" s="97">
        <v>4095103</v>
      </c>
      <c r="K19" s="97">
        <v>3717944</v>
      </c>
      <c r="L19" s="97">
        <v>3516445</v>
      </c>
      <c r="M19" s="97">
        <v>3638953</v>
      </c>
      <c r="N19" s="97">
        <v>3815316</v>
      </c>
      <c r="O19" s="97">
        <v>4219191</v>
      </c>
      <c r="P19" s="97">
        <v>4704863</v>
      </c>
      <c r="Q19" s="97">
        <v>5493994</v>
      </c>
      <c r="R19" s="98">
        <f t="shared" si="0"/>
        <v>0.1677266691931306</v>
      </c>
    </row>
    <row r="20" spans="1:18" ht="12.75">
      <c r="A20" s="265" t="s">
        <v>51</v>
      </c>
      <c r="B20" s="301">
        <v>2704038</v>
      </c>
      <c r="C20" s="301">
        <v>2631334</v>
      </c>
      <c r="D20" s="301">
        <v>2590733</v>
      </c>
      <c r="E20" s="301">
        <v>2690992</v>
      </c>
      <c r="F20" s="301">
        <v>2776458</v>
      </c>
      <c r="G20" s="301">
        <v>2605932</v>
      </c>
      <c r="H20" s="301">
        <v>2433672</v>
      </c>
      <c r="I20" s="301">
        <v>2511626</v>
      </c>
      <c r="J20" s="301">
        <v>2576200</v>
      </c>
      <c r="K20" s="301">
        <v>2545944</v>
      </c>
      <c r="L20" s="301">
        <v>2565466</v>
      </c>
      <c r="M20" s="301">
        <v>2632615</v>
      </c>
      <c r="N20" s="301">
        <v>2867521</v>
      </c>
      <c r="O20" s="301">
        <v>3178612</v>
      </c>
      <c r="P20" s="301">
        <v>3434615</v>
      </c>
      <c r="Q20" s="301">
        <v>3442752</v>
      </c>
      <c r="R20" s="302">
        <f t="shared" si="0"/>
        <v>0.002369115606843853</v>
      </c>
    </row>
    <row r="21" spans="1:18" ht="12.75">
      <c r="A21" s="96" t="s">
        <v>3</v>
      </c>
      <c r="B21" s="97">
        <v>1448796</v>
      </c>
      <c r="C21" s="97">
        <v>2962988</v>
      </c>
      <c r="D21" s="97">
        <v>3533564</v>
      </c>
      <c r="E21" s="97">
        <v>3614254</v>
      </c>
      <c r="F21" s="97">
        <v>4848604</v>
      </c>
      <c r="G21" s="97">
        <v>5510970</v>
      </c>
      <c r="H21" s="97">
        <v>5286975</v>
      </c>
      <c r="I21" s="97">
        <v>4863785</v>
      </c>
      <c r="J21" s="97">
        <v>3007977</v>
      </c>
      <c r="K21" s="97">
        <v>2844682</v>
      </c>
      <c r="L21" s="97">
        <v>2736867</v>
      </c>
      <c r="M21" s="97">
        <v>2160646</v>
      </c>
      <c r="N21" s="97">
        <v>1775326</v>
      </c>
      <c r="O21" s="97">
        <v>1664763</v>
      </c>
      <c r="P21" s="97">
        <v>1946816</v>
      </c>
      <c r="Q21" s="97">
        <v>2019876</v>
      </c>
      <c r="R21" s="98">
        <f t="shared" si="0"/>
        <v>0.0375279430619021</v>
      </c>
    </row>
    <row r="22" spans="1:18" ht="12.75">
      <c r="A22" s="265" t="s">
        <v>52</v>
      </c>
      <c r="B22" s="301">
        <v>1381826</v>
      </c>
      <c r="C22" s="301">
        <v>1580675</v>
      </c>
      <c r="D22" s="301">
        <v>1843118</v>
      </c>
      <c r="E22" s="301">
        <v>1994519</v>
      </c>
      <c r="F22" s="301">
        <v>2050172</v>
      </c>
      <c r="G22" s="301">
        <v>1917466</v>
      </c>
      <c r="H22" s="301">
        <v>1943900</v>
      </c>
      <c r="I22" s="301">
        <v>2172869</v>
      </c>
      <c r="J22" s="301">
        <v>2464330</v>
      </c>
      <c r="K22" s="301">
        <v>2194611</v>
      </c>
      <c r="L22" s="301">
        <v>2073055</v>
      </c>
      <c r="M22" s="301">
        <v>2083873</v>
      </c>
      <c r="N22" s="301">
        <v>2296409</v>
      </c>
      <c r="O22" s="301">
        <v>2510740</v>
      </c>
      <c r="P22" s="301">
        <v>2644925</v>
      </c>
      <c r="Q22" s="301">
        <v>2724750</v>
      </c>
      <c r="R22" s="302">
        <f t="shared" si="0"/>
        <v>0.030180439899051958</v>
      </c>
    </row>
    <row r="23" spans="1:18" ht="12.75">
      <c r="A23" s="96" t="s">
        <v>83</v>
      </c>
      <c r="B23" s="97">
        <v>556927</v>
      </c>
      <c r="C23" s="97">
        <v>848427</v>
      </c>
      <c r="D23" s="97">
        <v>1416537</v>
      </c>
      <c r="E23" s="97">
        <v>1646129</v>
      </c>
      <c r="F23" s="97">
        <v>2002949</v>
      </c>
      <c r="G23" s="97">
        <v>1876255</v>
      </c>
      <c r="H23" s="97">
        <v>1630521</v>
      </c>
      <c r="I23" s="97">
        <v>1349333</v>
      </c>
      <c r="J23" s="97">
        <v>1262597</v>
      </c>
      <c r="K23" s="97">
        <v>1181490</v>
      </c>
      <c r="L23" s="97">
        <v>1140447</v>
      </c>
      <c r="M23" s="97">
        <v>1095343</v>
      </c>
      <c r="N23" s="97">
        <v>1067668</v>
      </c>
      <c r="O23" s="97">
        <v>1096980</v>
      </c>
      <c r="P23" s="97">
        <v>1196605</v>
      </c>
      <c r="Q23" s="97">
        <v>1273424</v>
      </c>
      <c r="R23" s="98">
        <f t="shared" si="0"/>
        <v>0.06419745864341199</v>
      </c>
    </row>
    <row r="24" spans="1:18" ht="12.75">
      <c r="A24" s="265" t="s">
        <v>54</v>
      </c>
      <c r="B24" s="301">
        <v>839814</v>
      </c>
      <c r="C24" s="301">
        <v>943992</v>
      </c>
      <c r="D24" s="301">
        <v>1251495</v>
      </c>
      <c r="E24" s="301">
        <v>1353030</v>
      </c>
      <c r="F24" s="301">
        <v>1560830</v>
      </c>
      <c r="G24" s="301">
        <v>1530245</v>
      </c>
      <c r="H24" s="301">
        <v>1316088</v>
      </c>
      <c r="I24" s="301">
        <v>1355364</v>
      </c>
      <c r="J24" s="301">
        <v>1339010</v>
      </c>
      <c r="K24" s="301">
        <v>1309640</v>
      </c>
      <c r="L24" s="301">
        <v>1039409</v>
      </c>
      <c r="M24" s="301">
        <v>1065570</v>
      </c>
      <c r="N24" s="301">
        <v>1119273</v>
      </c>
      <c r="O24" s="301">
        <v>1281979</v>
      </c>
      <c r="P24" s="301">
        <v>1407217</v>
      </c>
      <c r="Q24" s="301">
        <v>1400481</v>
      </c>
      <c r="R24" s="302">
        <f t="shared" si="0"/>
        <v>-0.004786752860433039</v>
      </c>
    </row>
    <row r="25" spans="1:18" ht="12.75">
      <c r="A25" s="96" t="s">
        <v>58</v>
      </c>
      <c r="B25" s="97">
        <v>549871</v>
      </c>
      <c r="C25" s="97">
        <v>586239</v>
      </c>
      <c r="D25" s="97">
        <v>852322</v>
      </c>
      <c r="E25" s="97">
        <v>1014839</v>
      </c>
      <c r="F25" s="97">
        <v>1266795</v>
      </c>
      <c r="G25" s="97">
        <v>1174970</v>
      </c>
      <c r="H25" s="97">
        <v>1068823</v>
      </c>
      <c r="I25" s="97">
        <v>1101208</v>
      </c>
      <c r="J25" s="97">
        <v>1012800</v>
      </c>
      <c r="K25" s="97">
        <v>845452</v>
      </c>
      <c r="L25" s="97">
        <v>839837</v>
      </c>
      <c r="M25" s="97">
        <v>988834</v>
      </c>
      <c r="N25" s="97">
        <v>1025688</v>
      </c>
      <c r="O25" s="97">
        <v>1063291</v>
      </c>
      <c r="P25" s="97">
        <v>1141242</v>
      </c>
      <c r="Q25" s="97">
        <v>1225763</v>
      </c>
      <c r="R25" s="98">
        <f t="shared" si="0"/>
        <v>0.07406054105965255</v>
      </c>
    </row>
    <row r="26" spans="1:18" ht="12.75">
      <c r="A26" s="265" t="s">
        <v>56</v>
      </c>
      <c r="B26" s="301">
        <v>941118</v>
      </c>
      <c r="C26" s="301">
        <v>1015667</v>
      </c>
      <c r="D26" s="301">
        <v>1145569</v>
      </c>
      <c r="E26" s="301">
        <v>1175328</v>
      </c>
      <c r="F26" s="301">
        <v>1207572</v>
      </c>
      <c r="G26" s="301">
        <v>1151357</v>
      </c>
      <c r="H26" s="301">
        <v>1042969</v>
      </c>
      <c r="I26" s="301">
        <v>992363</v>
      </c>
      <c r="J26" s="301">
        <v>1067431</v>
      </c>
      <c r="K26" s="301">
        <v>965779</v>
      </c>
      <c r="L26" s="301">
        <v>809521</v>
      </c>
      <c r="M26" s="301">
        <v>862836</v>
      </c>
      <c r="N26" s="301">
        <v>971676</v>
      </c>
      <c r="O26" s="301">
        <v>1116146</v>
      </c>
      <c r="P26" s="301">
        <v>1302485</v>
      </c>
      <c r="Q26" s="301">
        <v>1420277</v>
      </c>
      <c r="R26" s="302">
        <f t="shared" si="0"/>
        <v>0.09043635819222487</v>
      </c>
    </row>
    <row r="27" spans="1:18" ht="12.75">
      <c r="A27" s="96" t="s">
        <v>4</v>
      </c>
      <c r="B27" s="97">
        <v>846731</v>
      </c>
      <c r="C27" s="97">
        <v>1138009</v>
      </c>
      <c r="D27" s="97">
        <v>1382257</v>
      </c>
      <c r="E27" s="97">
        <v>1380267</v>
      </c>
      <c r="F27" s="97">
        <v>1306785</v>
      </c>
      <c r="G27" s="97">
        <v>1278074</v>
      </c>
      <c r="H27" s="97">
        <v>1706609</v>
      </c>
      <c r="I27" s="97">
        <v>1421341</v>
      </c>
      <c r="J27" s="97">
        <v>1362683</v>
      </c>
      <c r="K27" s="97">
        <v>937446</v>
      </c>
      <c r="L27" s="97">
        <v>971166</v>
      </c>
      <c r="M27" s="97">
        <v>850648</v>
      </c>
      <c r="N27" s="97">
        <v>705038</v>
      </c>
      <c r="O27" s="97">
        <v>817611</v>
      </c>
      <c r="P27" s="97">
        <v>1022964</v>
      </c>
      <c r="Q27" s="97">
        <v>1037576</v>
      </c>
      <c r="R27" s="98">
        <f t="shared" si="0"/>
        <v>0.014283982623044408</v>
      </c>
    </row>
    <row r="28" spans="1:18" ht="12.75">
      <c r="A28" s="265" t="s">
        <v>59</v>
      </c>
      <c r="B28" s="301">
        <v>253756</v>
      </c>
      <c r="C28" s="301">
        <v>342559</v>
      </c>
      <c r="D28" s="301">
        <v>644662</v>
      </c>
      <c r="E28" s="301">
        <v>649447</v>
      </c>
      <c r="F28" s="301">
        <v>761780</v>
      </c>
      <c r="G28" s="301">
        <v>856606</v>
      </c>
      <c r="H28" s="301">
        <v>958157</v>
      </c>
      <c r="I28" s="301">
        <v>918470</v>
      </c>
      <c r="J28" s="301">
        <v>1116398</v>
      </c>
      <c r="K28" s="301">
        <v>1117617</v>
      </c>
      <c r="L28" s="301">
        <v>974043</v>
      </c>
      <c r="M28" s="301">
        <v>815636</v>
      </c>
      <c r="N28" s="301">
        <v>875920</v>
      </c>
      <c r="O28" s="301">
        <v>778318</v>
      </c>
      <c r="P28" s="301">
        <v>937641</v>
      </c>
      <c r="Q28" s="301">
        <v>1103353</v>
      </c>
      <c r="R28" s="302">
        <f t="shared" si="0"/>
        <v>0.17673288604060616</v>
      </c>
    </row>
    <row r="29" spans="1:18" ht="12.75">
      <c r="A29" s="96" t="s">
        <v>53</v>
      </c>
      <c r="B29" s="97">
        <v>846452</v>
      </c>
      <c r="C29" s="97">
        <v>1117447</v>
      </c>
      <c r="D29" s="97">
        <v>1297134</v>
      </c>
      <c r="E29" s="97">
        <v>1381666</v>
      </c>
      <c r="F29" s="97">
        <v>1607968</v>
      </c>
      <c r="G29" s="97">
        <v>1303817</v>
      </c>
      <c r="H29" s="97">
        <v>1079787</v>
      </c>
      <c r="I29" s="97">
        <v>1042136</v>
      </c>
      <c r="J29" s="97">
        <v>1032493</v>
      </c>
      <c r="K29" s="97">
        <v>913301</v>
      </c>
      <c r="L29" s="97">
        <v>811504</v>
      </c>
      <c r="M29" s="97">
        <v>758004</v>
      </c>
      <c r="N29" s="97">
        <v>823160</v>
      </c>
      <c r="O29" s="97">
        <v>916451</v>
      </c>
      <c r="P29" s="97">
        <v>1046251</v>
      </c>
      <c r="Q29" s="97">
        <v>1133621</v>
      </c>
      <c r="R29" s="98">
        <f t="shared" si="0"/>
        <v>0.08350768601415913</v>
      </c>
    </row>
    <row r="30" spans="1:18" ht="12.75">
      <c r="A30" s="265" t="s">
        <v>57</v>
      </c>
      <c r="B30" s="301">
        <v>839859</v>
      </c>
      <c r="C30" s="301">
        <v>830930</v>
      </c>
      <c r="D30" s="301">
        <v>1073585</v>
      </c>
      <c r="E30" s="301">
        <v>1055545</v>
      </c>
      <c r="F30" s="301">
        <v>1206634</v>
      </c>
      <c r="G30" s="301">
        <v>1024303</v>
      </c>
      <c r="H30" s="301">
        <v>791830</v>
      </c>
      <c r="I30" s="301">
        <v>787259</v>
      </c>
      <c r="J30" s="301">
        <v>780853</v>
      </c>
      <c r="K30" s="301">
        <v>749712</v>
      </c>
      <c r="L30" s="301">
        <v>705552</v>
      </c>
      <c r="M30" s="301">
        <v>744847</v>
      </c>
      <c r="N30" s="301">
        <v>691240</v>
      </c>
      <c r="O30" s="301">
        <v>919808</v>
      </c>
      <c r="P30" s="301">
        <v>1007446</v>
      </c>
      <c r="Q30" s="301">
        <v>992043</v>
      </c>
      <c r="R30" s="302">
        <f t="shared" si="0"/>
        <v>-0.015289156937443793</v>
      </c>
    </row>
    <row r="31" spans="1:18" ht="12.75">
      <c r="A31" s="96" t="s">
        <v>55</v>
      </c>
      <c r="B31" s="97">
        <v>840013</v>
      </c>
      <c r="C31" s="97">
        <v>911974</v>
      </c>
      <c r="D31" s="97">
        <v>1108720</v>
      </c>
      <c r="E31" s="97">
        <v>1188046</v>
      </c>
      <c r="F31" s="97">
        <v>1405968</v>
      </c>
      <c r="G31" s="97">
        <v>1278762</v>
      </c>
      <c r="H31" s="97">
        <v>1103291</v>
      </c>
      <c r="I31" s="97">
        <v>1093571</v>
      </c>
      <c r="J31" s="97">
        <v>976152</v>
      </c>
      <c r="K31" s="97">
        <v>828720</v>
      </c>
      <c r="L31" s="97">
        <v>678720</v>
      </c>
      <c r="M31" s="97">
        <v>680387</v>
      </c>
      <c r="N31" s="97">
        <v>713567</v>
      </c>
      <c r="O31" s="97">
        <v>954006</v>
      </c>
      <c r="P31" s="97">
        <v>1065595</v>
      </c>
      <c r="Q31" s="97">
        <v>1129689</v>
      </c>
      <c r="R31" s="98">
        <f t="shared" si="0"/>
        <v>0.06014855550185577</v>
      </c>
    </row>
    <row r="32" spans="1:18" ht="12.75">
      <c r="A32" s="265" t="s">
        <v>90</v>
      </c>
      <c r="B32" s="301">
        <v>525869</v>
      </c>
      <c r="C32" s="301">
        <v>590931</v>
      </c>
      <c r="D32" s="301">
        <v>875827</v>
      </c>
      <c r="E32" s="301">
        <v>1086236</v>
      </c>
      <c r="F32" s="301">
        <v>1467625</v>
      </c>
      <c r="G32" s="301">
        <v>1422014</v>
      </c>
      <c r="H32" s="301">
        <v>1187736</v>
      </c>
      <c r="I32" s="301">
        <v>978107</v>
      </c>
      <c r="J32" s="301">
        <v>872752</v>
      </c>
      <c r="K32" s="301">
        <v>728428</v>
      </c>
      <c r="L32" s="301">
        <v>638289</v>
      </c>
      <c r="M32" s="301">
        <v>650544</v>
      </c>
      <c r="N32" s="301">
        <v>707270</v>
      </c>
      <c r="O32" s="301">
        <v>753142</v>
      </c>
      <c r="P32" s="301">
        <v>901961</v>
      </c>
      <c r="Q32" s="301">
        <v>1126389</v>
      </c>
      <c r="R32" s="302">
        <f t="shared" si="0"/>
        <v>0.24882228832510497</v>
      </c>
    </row>
    <row r="33" spans="1:18" ht="12.75">
      <c r="A33" s="96" t="s">
        <v>61</v>
      </c>
      <c r="B33" s="97">
        <v>228069</v>
      </c>
      <c r="C33" s="97">
        <v>215213</v>
      </c>
      <c r="D33" s="97">
        <v>381849</v>
      </c>
      <c r="E33" s="97">
        <v>435881</v>
      </c>
      <c r="F33" s="97">
        <v>512184</v>
      </c>
      <c r="G33" s="97">
        <v>594952</v>
      </c>
      <c r="H33" s="97">
        <v>528313</v>
      </c>
      <c r="I33" s="97">
        <v>605912</v>
      </c>
      <c r="J33" s="97">
        <v>751097</v>
      </c>
      <c r="K33" s="97">
        <v>551406</v>
      </c>
      <c r="L33" s="97">
        <v>457284</v>
      </c>
      <c r="M33" s="97">
        <v>418576</v>
      </c>
      <c r="N33" s="97">
        <v>423873</v>
      </c>
      <c r="O33" s="97">
        <v>419529</v>
      </c>
      <c r="P33" s="97">
        <v>438035</v>
      </c>
      <c r="Q33" s="97">
        <v>489064</v>
      </c>
      <c r="R33" s="98">
        <f t="shared" si="0"/>
        <v>0.11649525722830367</v>
      </c>
    </row>
    <row r="34" spans="1:18" ht="12.75">
      <c r="A34" s="265" t="s">
        <v>64</v>
      </c>
      <c r="B34" s="301">
        <v>223437</v>
      </c>
      <c r="C34" s="301">
        <v>245102</v>
      </c>
      <c r="D34" s="301">
        <v>271589</v>
      </c>
      <c r="E34" s="301">
        <v>313543</v>
      </c>
      <c r="F34" s="301">
        <v>339244</v>
      </c>
      <c r="G34" s="301">
        <v>314643</v>
      </c>
      <c r="H34" s="301">
        <v>293692</v>
      </c>
      <c r="I34" s="301">
        <v>292608</v>
      </c>
      <c r="J34" s="301">
        <v>286701</v>
      </c>
      <c r="K34" s="301">
        <v>315852</v>
      </c>
      <c r="L34" s="301">
        <v>289551</v>
      </c>
      <c r="M34" s="301">
        <v>319603</v>
      </c>
      <c r="N34" s="301">
        <v>317806</v>
      </c>
      <c r="O34" s="301">
        <v>330116</v>
      </c>
      <c r="P34" s="301">
        <v>324366</v>
      </c>
      <c r="Q34" s="301">
        <v>348121</v>
      </c>
      <c r="R34" s="302">
        <f t="shared" si="0"/>
        <v>0.07323517261365248</v>
      </c>
    </row>
    <row r="35" spans="1:18" ht="12.75">
      <c r="A35" s="96" t="s">
        <v>63</v>
      </c>
      <c r="B35" s="97">
        <v>283843</v>
      </c>
      <c r="C35" s="97">
        <v>295533</v>
      </c>
      <c r="D35" s="97">
        <v>308775</v>
      </c>
      <c r="E35" s="97">
        <v>368002</v>
      </c>
      <c r="F35" s="97">
        <v>466457</v>
      </c>
      <c r="G35" s="97">
        <v>403191</v>
      </c>
      <c r="H35" s="97">
        <v>314262</v>
      </c>
      <c r="I35" s="97">
        <v>286059</v>
      </c>
      <c r="J35" s="97">
        <v>248050</v>
      </c>
      <c r="K35" s="97">
        <v>261581</v>
      </c>
      <c r="L35" s="97">
        <v>244952</v>
      </c>
      <c r="M35" s="97">
        <v>245422</v>
      </c>
      <c r="N35" s="97">
        <v>255077</v>
      </c>
      <c r="O35" s="97">
        <v>264422</v>
      </c>
      <c r="P35" s="97">
        <v>281859</v>
      </c>
      <c r="Q35" s="97">
        <v>289444</v>
      </c>
      <c r="R35" s="98">
        <f t="shared" si="0"/>
        <v>0.026910618429782266</v>
      </c>
    </row>
    <row r="36" spans="1:18" ht="12.75">
      <c r="A36" s="265" t="s">
        <v>60</v>
      </c>
      <c r="B36" s="301">
        <v>232254</v>
      </c>
      <c r="C36" s="301">
        <v>442218</v>
      </c>
      <c r="D36" s="301">
        <v>444520</v>
      </c>
      <c r="E36" s="301">
        <v>457793</v>
      </c>
      <c r="F36" s="301">
        <v>512928</v>
      </c>
      <c r="G36" s="301">
        <v>479689</v>
      </c>
      <c r="H36" s="301">
        <v>365683</v>
      </c>
      <c r="I36" s="301">
        <v>392683</v>
      </c>
      <c r="J36" s="301">
        <v>462504</v>
      </c>
      <c r="K36" s="301">
        <v>378419</v>
      </c>
      <c r="L36" s="301">
        <v>260271</v>
      </c>
      <c r="M36" s="301">
        <v>223587</v>
      </c>
      <c r="N36" s="301">
        <v>218416</v>
      </c>
      <c r="O36" s="301">
        <v>231868</v>
      </c>
      <c r="P36" s="301">
        <v>227269</v>
      </c>
      <c r="Q36" s="301">
        <v>253271</v>
      </c>
      <c r="R36" s="302">
        <f t="shared" si="0"/>
        <v>0.1144106763350919</v>
      </c>
    </row>
    <row r="37" spans="1:18" ht="12.75">
      <c r="A37" s="96" t="s">
        <v>66</v>
      </c>
      <c r="B37" s="97">
        <v>134352</v>
      </c>
      <c r="C37" s="97">
        <v>144498</v>
      </c>
      <c r="D37" s="97">
        <v>157981</v>
      </c>
      <c r="E37" s="97">
        <v>171444</v>
      </c>
      <c r="F37" s="97">
        <v>184843</v>
      </c>
      <c r="G37" s="97">
        <v>195425</v>
      </c>
      <c r="H37" s="97">
        <v>183470</v>
      </c>
      <c r="I37" s="97">
        <v>170975</v>
      </c>
      <c r="J37" s="97">
        <v>170225</v>
      </c>
      <c r="K37" s="97">
        <v>152726</v>
      </c>
      <c r="L37" s="97">
        <v>139154</v>
      </c>
      <c r="M37" s="97">
        <v>148864</v>
      </c>
      <c r="N37" s="97">
        <v>146789</v>
      </c>
      <c r="O37" s="97">
        <v>156439</v>
      </c>
      <c r="P37" s="97">
        <v>199382</v>
      </c>
      <c r="Q37" s="97">
        <v>247203</v>
      </c>
      <c r="R37" s="98">
        <f t="shared" si="0"/>
        <v>0.23984612452478157</v>
      </c>
    </row>
    <row r="38" spans="1:18" ht="12.75">
      <c r="A38" s="265" t="s">
        <v>62</v>
      </c>
      <c r="B38" s="301">
        <v>312787</v>
      </c>
      <c r="C38" s="301">
        <v>321418</v>
      </c>
      <c r="D38" s="301">
        <v>342614</v>
      </c>
      <c r="E38" s="301">
        <v>375308</v>
      </c>
      <c r="F38" s="301">
        <v>500097</v>
      </c>
      <c r="G38" s="301">
        <v>434477</v>
      </c>
      <c r="H38" s="301">
        <v>335590</v>
      </c>
      <c r="I38" s="301">
        <v>291264</v>
      </c>
      <c r="J38" s="301">
        <v>238511</v>
      </c>
      <c r="K38" s="301">
        <v>190295</v>
      </c>
      <c r="L38" s="301">
        <v>155939</v>
      </c>
      <c r="M38" s="301">
        <v>138316</v>
      </c>
      <c r="N38" s="301">
        <v>148561</v>
      </c>
      <c r="O38" s="301">
        <v>153476</v>
      </c>
      <c r="P38" s="301">
        <v>165604</v>
      </c>
      <c r="Q38" s="301">
        <v>205503</v>
      </c>
      <c r="R38" s="302">
        <f t="shared" si="0"/>
        <v>0.240930170768822</v>
      </c>
    </row>
    <row r="39" spans="1:18" ht="12.75">
      <c r="A39" s="96" t="s">
        <v>68</v>
      </c>
      <c r="B39" s="97">
        <v>66522</v>
      </c>
      <c r="C39" s="97">
        <v>82596</v>
      </c>
      <c r="D39" s="97">
        <v>72966</v>
      </c>
      <c r="E39" s="97">
        <v>80464</v>
      </c>
      <c r="F39" s="97">
        <v>91585</v>
      </c>
      <c r="G39" s="97">
        <v>81010</v>
      </c>
      <c r="H39" s="97">
        <v>75353</v>
      </c>
      <c r="I39" s="97">
        <v>61177</v>
      </c>
      <c r="J39" s="97">
        <v>56981</v>
      </c>
      <c r="K39" s="97">
        <v>65637</v>
      </c>
      <c r="L39" s="97">
        <v>29113</v>
      </c>
      <c r="M39" s="97">
        <v>39600</v>
      </c>
      <c r="N39" s="97">
        <v>22370</v>
      </c>
      <c r="O39" s="97">
        <v>32963</v>
      </c>
      <c r="P39" s="97">
        <v>49304</v>
      </c>
      <c r="Q39" s="97">
        <v>52071</v>
      </c>
      <c r="R39" s="98">
        <f t="shared" si="0"/>
        <v>0.05612120720428363</v>
      </c>
    </row>
    <row r="40" spans="1:18" ht="12.75">
      <c r="A40" s="265" t="s">
        <v>70</v>
      </c>
      <c r="B40" s="301">
        <v>28588</v>
      </c>
      <c r="C40" s="301">
        <v>30774</v>
      </c>
      <c r="D40" s="301">
        <v>34496</v>
      </c>
      <c r="E40" s="301">
        <v>38852</v>
      </c>
      <c r="F40" s="301">
        <v>40569</v>
      </c>
      <c r="G40" s="301">
        <v>41890</v>
      </c>
      <c r="H40" s="301">
        <v>34609</v>
      </c>
      <c r="I40" s="301">
        <v>32252</v>
      </c>
      <c r="J40" s="301">
        <v>32713</v>
      </c>
      <c r="K40" s="301">
        <v>19690</v>
      </c>
      <c r="L40" s="301">
        <v>24469</v>
      </c>
      <c r="M40" s="301">
        <v>28897</v>
      </c>
      <c r="N40" s="301">
        <v>34954</v>
      </c>
      <c r="O40" s="301">
        <v>38042</v>
      </c>
      <c r="P40" s="301">
        <v>48711</v>
      </c>
      <c r="Q40" s="301">
        <v>61944</v>
      </c>
      <c r="R40" s="302">
        <f t="shared" si="0"/>
        <v>0.2716634846338609</v>
      </c>
    </row>
    <row r="41" spans="1:18" ht="12.75">
      <c r="A41" s="96" t="s">
        <v>67</v>
      </c>
      <c r="B41" s="97">
        <v>31607</v>
      </c>
      <c r="C41" s="97">
        <v>65187</v>
      </c>
      <c r="D41" s="97">
        <v>80894</v>
      </c>
      <c r="E41" s="97">
        <v>126650</v>
      </c>
      <c r="F41" s="97">
        <v>161705</v>
      </c>
      <c r="G41" s="97">
        <v>123183</v>
      </c>
      <c r="H41" s="97">
        <v>94282</v>
      </c>
      <c r="I41" s="97">
        <v>93313</v>
      </c>
      <c r="J41" s="97">
        <v>85725</v>
      </c>
      <c r="K41" s="97">
        <v>50835</v>
      </c>
      <c r="L41" s="97">
        <v>30890</v>
      </c>
      <c r="M41" s="97">
        <v>23100</v>
      </c>
      <c r="N41" s="97">
        <v>38707</v>
      </c>
      <c r="O41" s="97">
        <v>36554</v>
      </c>
      <c r="P41" s="97">
        <v>44389</v>
      </c>
      <c r="Q41" s="97">
        <v>55946</v>
      </c>
      <c r="R41" s="98">
        <f t="shared" si="0"/>
        <v>0.2603572957264187</v>
      </c>
    </row>
    <row r="42" spans="1:18" ht="12.75">
      <c r="A42" s="265" t="s">
        <v>85</v>
      </c>
      <c r="B42" s="307" t="s">
        <v>76</v>
      </c>
      <c r="C42" s="307" t="s">
        <v>76</v>
      </c>
      <c r="D42" s="307" t="s">
        <v>76</v>
      </c>
      <c r="E42" s="307" t="s">
        <v>76</v>
      </c>
      <c r="F42" s="307" t="s">
        <v>76</v>
      </c>
      <c r="G42" s="307">
        <v>13037</v>
      </c>
      <c r="H42" s="307">
        <v>27710</v>
      </c>
      <c r="I42" s="307">
        <v>33595</v>
      </c>
      <c r="J42" s="307">
        <v>35447</v>
      </c>
      <c r="K42" s="307">
        <v>21057</v>
      </c>
      <c r="L42" s="307">
        <v>18905</v>
      </c>
      <c r="M42" s="301">
        <v>21583</v>
      </c>
      <c r="N42" s="301">
        <v>9080</v>
      </c>
      <c r="O42" s="301">
        <v>4682</v>
      </c>
      <c r="P42" s="301">
        <v>5933</v>
      </c>
      <c r="Q42" s="301">
        <v>10341</v>
      </c>
      <c r="R42" s="302">
        <f t="shared" si="0"/>
        <v>0.7429630878139222</v>
      </c>
    </row>
    <row r="43" spans="1:18" ht="12.75">
      <c r="A43" s="96" t="s">
        <v>71</v>
      </c>
      <c r="B43" s="97">
        <v>22650</v>
      </c>
      <c r="C43" s="97">
        <v>21553</v>
      </c>
      <c r="D43" s="97">
        <v>23456</v>
      </c>
      <c r="E43" s="97">
        <v>29308</v>
      </c>
      <c r="F43" s="97">
        <v>65216</v>
      </c>
      <c r="G43" s="97">
        <v>60103</v>
      </c>
      <c r="H43" s="97">
        <v>53088</v>
      </c>
      <c r="I43" s="97">
        <v>43179</v>
      </c>
      <c r="J43" s="97">
        <v>37257</v>
      </c>
      <c r="K43" s="97">
        <v>22716</v>
      </c>
      <c r="L43" s="97">
        <v>15830</v>
      </c>
      <c r="M43" s="97">
        <v>17745</v>
      </c>
      <c r="N43" s="97">
        <v>23052</v>
      </c>
      <c r="O43" s="97">
        <v>15526</v>
      </c>
      <c r="P43" s="97">
        <v>15027</v>
      </c>
      <c r="Q43" s="97">
        <v>14649</v>
      </c>
      <c r="R43" s="98">
        <f t="shared" si="0"/>
        <v>-0.025154721501297665</v>
      </c>
    </row>
    <row r="44" spans="1:18" ht="12.75">
      <c r="A44" s="265" t="s">
        <v>69</v>
      </c>
      <c r="B44" s="301">
        <v>20222</v>
      </c>
      <c r="C44" s="301">
        <v>38385</v>
      </c>
      <c r="D44" s="301">
        <v>39150</v>
      </c>
      <c r="E44" s="301">
        <v>55469</v>
      </c>
      <c r="F44" s="301">
        <v>56371</v>
      </c>
      <c r="G44" s="301">
        <v>47896</v>
      </c>
      <c r="H44" s="301">
        <v>35664</v>
      </c>
      <c r="I44" s="301">
        <v>24522</v>
      </c>
      <c r="J44" s="301">
        <v>17877</v>
      </c>
      <c r="K44" s="301">
        <v>19263</v>
      </c>
      <c r="L44" s="301">
        <v>10598</v>
      </c>
      <c r="M44" s="301">
        <v>12239</v>
      </c>
      <c r="N44" s="301">
        <v>14981</v>
      </c>
      <c r="O44" s="301">
        <v>17374</v>
      </c>
      <c r="P44" s="301">
        <v>20010</v>
      </c>
      <c r="Q44" s="301">
        <v>21381</v>
      </c>
      <c r="R44" s="302">
        <f t="shared" si="0"/>
        <v>0.06851574212893553</v>
      </c>
    </row>
    <row r="45" spans="1:18" ht="12.75">
      <c r="A45" s="96" t="s">
        <v>65</v>
      </c>
      <c r="B45" s="97">
        <v>102328</v>
      </c>
      <c r="C45" s="97">
        <v>95094</v>
      </c>
      <c r="D45" s="97">
        <v>91594</v>
      </c>
      <c r="E45" s="97">
        <v>173605</v>
      </c>
      <c r="F45" s="97">
        <v>173878</v>
      </c>
      <c r="G45" s="97">
        <v>67818</v>
      </c>
      <c r="H45" s="97">
        <v>39933</v>
      </c>
      <c r="I45" s="97">
        <v>42073</v>
      </c>
      <c r="J45" s="97">
        <v>28211</v>
      </c>
      <c r="K45" s="97">
        <v>24389</v>
      </c>
      <c r="L45" s="97">
        <v>6912</v>
      </c>
      <c r="M45" s="97">
        <v>7073</v>
      </c>
      <c r="N45" s="97">
        <v>11182</v>
      </c>
      <c r="O45" s="97">
        <v>36716</v>
      </c>
      <c r="P45" s="97">
        <v>84261</v>
      </c>
      <c r="Q45" s="97">
        <v>140945</v>
      </c>
      <c r="R45" s="98">
        <f t="shared" si="0"/>
        <v>0.6727192888762298</v>
      </c>
    </row>
    <row r="46" spans="1:18" ht="12.75">
      <c r="A46" s="265" t="s">
        <v>72</v>
      </c>
      <c r="B46" s="301">
        <v>16789</v>
      </c>
      <c r="C46" s="301">
        <v>19332</v>
      </c>
      <c r="D46" s="301">
        <v>20604</v>
      </c>
      <c r="E46" s="301">
        <v>19557</v>
      </c>
      <c r="F46" s="301">
        <v>22410</v>
      </c>
      <c r="G46" s="301">
        <v>22230</v>
      </c>
      <c r="H46" s="301">
        <v>15459</v>
      </c>
      <c r="I46" s="301">
        <v>7822</v>
      </c>
      <c r="J46" s="301">
        <v>8442</v>
      </c>
      <c r="K46" s="301">
        <v>9835</v>
      </c>
      <c r="L46" s="301">
        <v>6955</v>
      </c>
      <c r="M46" s="301">
        <v>6613</v>
      </c>
      <c r="N46" s="301">
        <v>7357</v>
      </c>
      <c r="O46" s="301">
        <v>7397</v>
      </c>
      <c r="P46" s="301">
        <v>7910</v>
      </c>
      <c r="Q46" s="301">
        <v>8255</v>
      </c>
      <c r="R46" s="302">
        <f t="shared" si="0"/>
        <v>0.04361567635903919</v>
      </c>
    </row>
    <row r="47" spans="1:18" ht="12.75">
      <c r="A47" s="96" t="s">
        <v>84</v>
      </c>
      <c r="B47" s="99">
        <v>0</v>
      </c>
      <c r="C47" s="97">
        <v>15772</v>
      </c>
      <c r="D47" s="97">
        <v>20233</v>
      </c>
      <c r="E47" s="97">
        <v>22125</v>
      </c>
      <c r="F47" s="97">
        <v>23852</v>
      </c>
      <c r="G47" s="97">
        <v>25645</v>
      </c>
      <c r="H47" s="97">
        <v>20566</v>
      </c>
      <c r="I47" s="97">
        <v>29817</v>
      </c>
      <c r="J47" s="97">
        <v>46754</v>
      </c>
      <c r="K47" s="97">
        <v>18289</v>
      </c>
      <c r="L47" s="97">
        <v>5673</v>
      </c>
      <c r="M47" s="97">
        <v>4294</v>
      </c>
      <c r="N47" s="97">
        <v>1096</v>
      </c>
      <c r="O47" s="97">
        <v>1654</v>
      </c>
      <c r="P47" s="97">
        <v>17827</v>
      </c>
      <c r="Q47" s="97">
        <v>52180</v>
      </c>
      <c r="R47" s="98">
        <f t="shared" si="0"/>
        <v>1.927020811129186</v>
      </c>
    </row>
    <row r="48" spans="1:18" ht="12.75">
      <c r="A48" s="265" t="s">
        <v>74</v>
      </c>
      <c r="B48" s="307" t="s">
        <v>76</v>
      </c>
      <c r="C48" s="307" t="s">
        <v>76</v>
      </c>
      <c r="D48" s="307" t="s">
        <v>76</v>
      </c>
      <c r="E48" s="307" t="s">
        <v>76</v>
      </c>
      <c r="F48" s="307" t="s">
        <v>76</v>
      </c>
      <c r="G48" s="307" t="s">
        <v>76</v>
      </c>
      <c r="H48" s="307" t="s">
        <v>76</v>
      </c>
      <c r="I48" s="307" t="s">
        <v>76</v>
      </c>
      <c r="J48" s="307">
        <v>0</v>
      </c>
      <c r="K48" s="307">
        <v>602</v>
      </c>
      <c r="L48" s="307">
        <v>2999</v>
      </c>
      <c r="M48" s="301">
        <v>2686</v>
      </c>
      <c r="N48" s="301">
        <v>3981</v>
      </c>
      <c r="O48" s="301">
        <v>4414</v>
      </c>
      <c r="P48" s="301">
        <v>4545</v>
      </c>
      <c r="Q48" s="301">
        <v>4540</v>
      </c>
      <c r="R48" s="302">
        <f t="shared" si="0"/>
        <v>-0.0011001100110011</v>
      </c>
    </row>
    <row r="49" spans="1:18" ht="12.75">
      <c r="A49" s="96" t="s">
        <v>75</v>
      </c>
      <c r="B49" s="99" t="s">
        <v>76</v>
      </c>
      <c r="C49" s="99" t="s">
        <v>76</v>
      </c>
      <c r="D49" s="99" t="s">
        <v>76</v>
      </c>
      <c r="E49" s="99" t="s">
        <v>76</v>
      </c>
      <c r="F49" s="99" t="s">
        <v>76</v>
      </c>
      <c r="G49" s="99" t="s">
        <v>76</v>
      </c>
      <c r="H49" s="99" t="s">
        <v>76</v>
      </c>
      <c r="I49" s="99" t="s">
        <v>76</v>
      </c>
      <c r="J49" s="99">
        <v>0</v>
      </c>
      <c r="K49" s="99">
        <v>1031</v>
      </c>
      <c r="L49" s="99">
        <v>2922</v>
      </c>
      <c r="M49" s="97">
        <v>2483</v>
      </c>
      <c r="N49" s="97">
        <v>3538</v>
      </c>
      <c r="O49" s="97">
        <v>2278</v>
      </c>
      <c r="P49" s="97">
        <v>1160</v>
      </c>
      <c r="Q49" s="97">
        <v>2972</v>
      </c>
      <c r="R49" s="98">
        <f t="shared" si="0"/>
        <v>1.5620689655172413</v>
      </c>
    </row>
    <row r="50" spans="1:18" ht="12.75">
      <c r="A50" s="265" t="s">
        <v>82</v>
      </c>
      <c r="B50" s="301">
        <v>39</v>
      </c>
      <c r="C50" s="301">
        <v>261</v>
      </c>
      <c r="D50" s="301">
        <v>270</v>
      </c>
      <c r="E50" s="301">
        <v>179</v>
      </c>
      <c r="F50" s="301">
        <v>465</v>
      </c>
      <c r="G50" s="301">
        <v>398</v>
      </c>
      <c r="H50" s="301">
        <v>229</v>
      </c>
      <c r="I50" s="301">
        <v>295</v>
      </c>
      <c r="J50" s="301">
        <v>431</v>
      </c>
      <c r="K50" s="301">
        <v>2215</v>
      </c>
      <c r="L50" s="301">
        <v>1865</v>
      </c>
      <c r="M50" s="301">
        <v>2126</v>
      </c>
      <c r="N50" s="301">
        <v>2854</v>
      </c>
      <c r="O50" s="301">
        <v>2041</v>
      </c>
      <c r="P50" s="301">
        <v>3347</v>
      </c>
      <c r="Q50" s="301">
        <v>3347</v>
      </c>
      <c r="R50" s="302">
        <f t="shared" si="0"/>
        <v>0</v>
      </c>
    </row>
    <row r="51" spans="1:18" ht="12.75">
      <c r="A51" s="96" t="s">
        <v>99</v>
      </c>
      <c r="B51" s="99" t="s">
        <v>76</v>
      </c>
      <c r="C51" s="99" t="s">
        <v>76</v>
      </c>
      <c r="D51" s="99" t="s">
        <v>76</v>
      </c>
      <c r="E51" s="99" t="s">
        <v>76</v>
      </c>
      <c r="F51" s="99" t="s">
        <v>76</v>
      </c>
      <c r="G51" s="99" t="s">
        <v>76</v>
      </c>
      <c r="H51" s="99" t="s">
        <v>76</v>
      </c>
      <c r="I51" s="104">
        <v>10999</v>
      </c>
      <c r="J51" s="104">
        <v>25318</v>
      </c>
      <c r="K51" s="104">
        <v>8900</v>
      </c>
      <c r="L51" s="104">
        <v>2938</v>
      </c>
      <c r="M51" s="97">
        <v>1570</v>
      </c>
      <c r="N51" s="97">
        <v>15</v>
      </c>
      <c r="O51" s="97">
        <v>136</v>
      </c>
      <c r="P51" s="97">
        <v>10569</v>
      </c>
      <c r="Q51" s="97">
        <v>31129</v>
      </c>
      <c r="R51" s="98">
        <f t="shared" si="0"/>
        <v>1.9453117608099157</v>
      </c>
    </row>
    <row r="52" spans="1:18" ht="12.75">
      <c r="A52" s="265" t="s">
        <v>73</v>
      </c>
      <c r="B52" s="301">
        <v>4666</v>
      </c>
      <c r="C52" s="301">
        <v>15055</v>
      </c>
      <c r="D52" s="301">
        <v>15992</v>
      </c>
      <c r="E52" s="301">
        <v>17516</v>
      </c>
      <c r="F52" s="301">
        <v>19881</v>
      </c>
      <c r="G52" s="301">
        <v>19254</v>
      </c>
      <c r="H52" s="301">
        <v>15262</v>
      </c>
      <c r="I52" s="301">
        <v>11290</v>
      </c>
      <c r="J52" s="301">
        <v>8415</v>
      </c>
      <c r="K52" s="301">
        <v>3914</v>
      </c>
      <c r="L52" s="301">
        <v>1211</v>
      </c>
      <c r="M52" s="301">
        <v>1409</v>
      </c>
      <c r="N52" s="301">
        <v>1353</v>
      </c>
      <c r="O52" s="301">
        <v>1277</v>
      </c>
      <c r="P52" s="301">
        <v>1380</v>
      </c>
      <c r="Q52" s="301">
        <v>1295</v>
      </c>
      <c r="R52" s="302">
        <f t="shared" si="0"/>
        <v>-0.06159420289855073</v>
      </c>
    </row>
    <row r="53" spans="1:18" ht="12.75">
      <c r="A53" s="96" t="s">
        <v>81</v>
      </c>
      <c r="B53" s="99" t="s">
        <v>76</v>
      </c>
      <c r="C53" s="99" t="s">
        <v>76</v>
      </c>
      <c r="D53" s="99" t="s">
        <v>76</v>
      </c>
      <c r="E53" s="99" t="s">
        <v>76</v>
      </c>
      <c r="F53" s="99">
        <v>1386</v>
      </c>
      <c r="G53" s="99">
        <v>3982</v>
      </c>
      <c r="H53" s="99">
        <v>6341</v>
      </c>
      <c r="I53" s="99">
        <v>6368</v>
      </c>
      <c r="J53" s="99">
        <v>2781</v>
      </c>
      <c r="K53" s="99">
        <v>1313</v>
      </c>
      <c r="L53" s="99">
        <v>273</v>
      </c>
      <c r="M53" s="97">
        <v>263</v>
      </c>
      <c r="N53" s="97">
        <v>242</v>
      </c>
      <c r="O53" s="97">
        <v>95</v>
      </c>
      <c r="P53" s="97">
        <v>257</v>
      </c>
      <c r="Q53" s="97">
        <v>1473</v>
      </c>
      <c r="R53" s="98">
        <f t="shared" si="0"/>
        <v>4.7315175097276265</v>
      </c>
    </row>
    <row r="54" spans="1:18" ht="12.75">
      <c r="A54" s="265" t="s">
        <v>79</v>
      </c>
      <c r="B54" s="301">
        <v>21253</v>
      </c>
      <c r="C54" s="301">
        <v>25979</v>
      </c>
      <c r="D54" s="301">
        <v>28197</v>
      </c>
      <c r="E54" s="301">
        <v>30587</v>
      </c>
      <c r="F54" s="301">
        <v>38304</v>
      </c>
      <c r="G54" s="301">
        <v>36561</v>
      </c>
      <c r="H54" s="301">
        <v>26650</v>
      </c>
      <c r="I54" s="301">
        <v>28888</v>
      </c>
      <c r="J54" s="301">
        <v>27801</v>
      </c>
      <c r="K54" s="301">
        <v>27076</v>
      </c>
      <c r="L54" s="301">
        <v>1953</v>
      </c>
      <c r="M54" s="301">
        <v>0</v>
      </c>
      <c r="N54" s="301">
        <v>0</v>
      </c>
      <c r="O54" s="301">
        <v>0</v>
      </c>
      <c r="P54" s="301">
        <v>0</v>
      </c>
      <c r="Q54" s="301">
        <v>0</v>
      </c>
      <c r="R54" s="302"/>
    </row>
    <row r="55" spans="1:18" ht="12.75">
      <c r="A55" s="100"/>
      <c r="B55" s="101"/>
      <c r="C55" s="101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3"/>
    </row>
    <row r="56" spans="1:18" ht="12.75">
      <c r="A56" s="308" t="s">
        <v>1</v>
      </c>
      <c r="B56" s="309">
        <f>SUM(B6:B52)</f>
        <v>153805089</v>
      </c>
      <c r="C56" s="309">
        <f>SUM(C6:C52)</f>
        <v>166120223</v>
      </c>
      <c r="D56" s="309">
        <f>SUM(D6:D52)</f>
        <v>181249544</v>
      </c>
      <c r="E56" s="309">
        <f>SUM(E6:E52)</f>
        <v>193522591</v>
      </c>
      <c r="F56" s="309">
        <f>SUM(F6:F52)</f>
        <v>210459070</v>
      </c>
      <c r="G56" s="309">
        <f>SUM(G6:G53)</f>
        <v>203825467</v>
      </c>
      <c r="H56" s="309">
        <f>SUM(H6:H53)</f>
        <v>187323164</v>
      </c>
      <c r="I56" s="309">
        <f>SUM(I6:I54)</f>
        <v>192787860</v>
      </c>
      <c r="J56" s="309">
        <v>204386371</v>
      </c>
      <c r="K56" s="309">
        <v>194229656</v>
      </c>
      <c r="L56" s="309">
        <v>187361347</v>
      </c>
      <c r="M56" s="309">
        <f>SUM(M6:M54)</f>
        <v>195861278</v>
      </c>
      <c r="N56" s="309">
        <v>207421046</v>
      </c>
      <c r="O56" s="309">
        <v>230229523</v>
      </c>
      <c r="P56" s="309">
        <v>249223044</v>
      </c>
      <c r="Q56" s="309">
        <v>263753406</v>
      </c>
      <c r="R56" s="310">
        <f>(Q56-P56)/P56</f>
        <v>0.05830264235116236</v>
      </c>
    </row>
    <row r="57" spans="1:4" s="161" customFormat="1" ht="12.75">
      <c r="A57" s="162" t="s">
        <v>77</v>
      </c>
      <c r="B57" s="162"/>
      <c r="C57" s="162"/>
      <c r="D57" s="162"/>
    </row>
  </sheetData>
  <sheetProtection/>
  <mergeCells count="1">
    <mergeCell ref="R3:R4"/>
  </mergeCells>
  <printOptions/>
  <pageMargins left="0.3937007874015748" right="0.1968503937007874" top="0.5511811023622047" bottom="0.3937007874015748" header="0" footer="0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34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1" width="25.57421875" style="95" customWidth="1"/>
    <col min="2" max="5" width="12.421875" style="95" hidden="1" customWidth="1"/>
    <col min="6" max="17" width="12.421875" style="95" customWidth="1"/>
    <col min="18" max="18" width="10.57421875" style="95" customWidth="1"/>
    <col min="19" max="19" width="15.7109375" style="95" customWidth="1"/>
    <col min="20" max="16384" width="9.140625" style="95" customWidth="1"/>
  </cols>
  <sheetData>
    <row r="1" spans="1:4" ht="15">
      <c r="A1" s="94" t="s">
        <v>242</v>
      </c>
      <c r="B1" s="94"/>
      <c r="C1" s="94"/>
      <c r="D1" s="94"/>
    </row>
    <row r="2" spans="1:4" ht="15">
      <c r="A2" s="94"/>
      <c r="B2" s="94"/>
      <c r="C2" s="94"/>
      <c r="D2" s="94"/>
    </row>
    <row r="3" spans="1:18" ht="12.75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61" t="s">
        <v>236</v>
      </c>
    </row>
    <row r="4" spans="1:18" ht="12.75">
      <c r="A4" s="312" t="s">
        <v>42</v>
      </c>
      <c r="B4" s="313">
        <v>2003</v>
      </c>
      <c r="C4" s="313">
        <v>2004</v>
      </c>
      <c r="D4" s="313">
        <v>2005</v>
      </c>
      <c r="E4" s="313">
        <v>2006</v>
      </c>
      <c r="F4" s="313">
        <v>2007</v>
      </c>
      <c r="G4" s="313">
        <v>2008</v>
      </c>
      <c r="H4" s="313">
        <v>2009</v>
      </c>
      <c r="I4" s="313">
        <v>2010</v>
      </c>
      <c r="J4" s="313">
        <v>2011</v>
      </c>
      <c r="K4" s="313">
        <v>2012</v>
      </c>
      <c r="L4" s="313">
        <v>2013</v>
      </c>
      <c r="M4" s="313">
        <v>2014</v>
      </c>
      <c r="N4" s="313">
        <v>2015</v>
      </c>
      <c r="O4" s="313">
        <v>2016</v>
      </c>
      <c r="P4" s="313">
        <v>2017</v>
      </c>
      <c r="Q4" s="313">
        <v>2018</v>
      </c>
      <c r="R4" s="362"/>
    </row>
    <row r="5" spans="5:17" ht="12.75"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8" ht="12.75">
      <c r="A6" s="265" t="s">
        <v>171</v>
      </c>
      <c r="B6" s="301">
        <v>307026083</v>
      </c>
      <c r="C6" s="301">
        <v>341176527</v>
      </c>
      <c r="D6" s="301">
        <v>333137606</v>
      </c>
      <c r="E6" s="301">
        <v>325701766</v>
      </c>
      <c r="F6" s="301">
        <v>325201138</v>
      </c>
      <c r="G6" s="301">
        <v>329186631</v>
      </c>
      <c r="H6" s="301">
        <v>302799588</v>
      </c>
      <c r="I6" s="301">
        <v>373380254</v>
      </c>
      <c r="J6" s="301">
        <v>394154078</v>
      </c>
      <c r="K6" s="301">
        <v>359362155</v>
      </c>
      <c r="L6" s="301">
        <v>345802089</v>
      </c>
      <c r="M6" s="301">
        <v>366644938</v>
      </c>
      <c r="N6" s="301">
        <v>381594780</v>
      </c>
      <c r="O6" s="301">
        <v>415773807</v>
      </c>
      <c r="P6" s="301">
        <v>470795622</v>
      </c>
      <c r="Q6" s="301">
        <v>518858994</v>
      </c>
      <c r="R6" s="302">
        <f>(Q6-P6)/P6</f>
        <v>0.1020896749120577</v>
      </c>
    </row>
    <row r="7" spans="1:18" ht="12.75">
      <c r="A7" s="96" t="s">
        <v>172</v>
      </c>
      <c r="B7" s="97">
        <v>70117771</v>
      </c>
      <c r="C7" s="97">
        <v>84984845</v>
      </c>
      <c r="D7" s="97">
        <v>90445906</v>
      </c>
      <c r="E7" s="97">
        <v>93403791</v>
      </c>
      <c r="F7" s="97">
        <v>96785978</v>
      </c>
      <c r="G7" s="97">
        <v>103996489</v>
      </c>
      <c r="H7" s="97">
        <v>89812753</v>
      </c>
      <c r="I7" s="97">
        <v>104279947</v>
      </c>
      <c r="J7" s="97">
        <v>96572859</v>
      </c>
      <c r="K7" s="97">
        <v>96519698</v>
      </c>
      <c r="L7" s="97">
        <v>100297049</v>
      </c>
      <c r="M7" s="97">
        <v>102692826</v>
      </c>
      <c r="N7" s="97">
        <v>117219382</v>
      </c>
      <c r="O7" s="97">
        <v>132754964</v>
      </c>
      <c r="P7" s="97">
        <v>156105304</v>
      </c>
      <c r="Q7" s="97">
        <v>172939998</v>
      </c>
      <c r="R7" s="98">
        <f aca="true" t="shared" si="0" ref="R7:R40">(Q7-P7)/P7</f>
        <v>0.10784190907440275</v>
      </c>
    </row>
    <row r="8" spans="1:18" ht="12.75">
      <c r="A8" s="265" t="s">
        <v>61</v>
      </c>
      <c r="B8" s="301">
        <v>8365562</v>
      </c>
      <c r="C8" s="301">
        <v>9160282</v>
      </c>
      <c r="D8" s="301">
        <v>3854961</v>
      </c>
      <c r="E8" s="301">
        <v>5928685</v>
      </c>
      <c r="F8" s="301">
        <v>20151390</v>
      </c>
      <c r="G8" s="301">
        <v>21438894</v>
      </c>
      <c r="H8" s="301">
        <v>36936345</v>
      </c>
      <c r="I8" s="301">
        <v>42544715</v>
      </c>
      <c r="J8" s="301">
        <v>48647400</v>
      </c>
      <c r="K8" s="301">
        <v>71093538</v>
      </c>
      <c r="L8" s="301">
        <v>71661247</v>
      </c>
      <c r="M8" s="301">
        <v>86310664</v>
      </c>
      <c r="N8" s="301">
        <v>85741369</v>
      </c>
      <c r="O8" s="301">
        <v>110563692</v>
      </c>
      <c r="P8" s="301">
        <v>142185207</v>
      </c>
      <c r="Q8" s="301">
        <v>166833763</v>
      </c>
      <c r="R8" s="302">
        <f t="shared" si="0"/>
        <v>0.17335527738831508</v>
      </c>
    </row>
    <row r="9" spans="1:18" ht="12.75">
      <c r="A9" s="96" t="s">
        <v>65</v>
      </c>
      <c r="B9" s="97">
        <v>40155860</v>
      </c>
      <c r="C9" s="97">
        <v>43683433</v>
      </c>
      <c r="D9" s="97">
        <v>34785848</v>
      </c>
      <c r="E9" s="97">
        <v>31575692</v>
      </c>
      <c r="F9" s="97">
        <v>31359301</v>
      </c>
      <c r="G9" s="97">
        <v>34989727</v>
      </c>
      <c r="H9" s="97">
        <v>27388041</v>
      </c>
      <c r="I9" s="97">
        <v>27960620</v>
      </c>
      <c r="J9" s="97">
        <v>34692256</v>
      </c>
      <c r="K9" s="97">
        <v>34648127</v>
      </c>
      <c r="L9" s="97">
        <v>37482449</v>
      </c>
      <c r="M9" s="97">
        <v>44657998</v>
      </c>
      <c r="N9" s="97">
        <v>46371874</v>
      </c>
      <c r="O9" s="97">
        <v>52134714</v>
      </c>
      <c r="P9" s="97">
        <v>60484212</v>
      </c>
      <c r="Q9" s="97">
        <v>62156227</v>
      </c>
      <c r="R9" s="98">
        <f t="shared" si="0"/>
        <v>0.027643825466387825</v>
      </c>
    </row>
    <row r="10" spans="1:18" ht="12.75">
      <c r="A10" s="265" t="s">
        <v>89</v>
      </c>
      <c r="B10" s="301">
        <v>40050037</v>
      </c>
      <c r="C10" s="301">
        <v>40934830</v>
      </c>
      <c r="D10" s="301">
        <v>40389881</v>
      </c>
      <c r="E10" s="301">
        <v>38360982</v>
      </c>
      <c r="F10" s="301">
        <v>37491198</v>
      </c>
      <c r="G10" s="301">
        <v>33695248</v>
      </c>
      <c r="H10" s="301">
        <v>25992780</v>
      </c>
      <c r="I10" s="301">
        <v>24528109</v>
      </c>
      <c r="J10" s="301">
        <v>23678510</v>
      </c>
      <c r="K10" s="301">
        <v>20603186</v>
      </c>
      <c r="L10" s="301">
        <v>18781005</v>
      </c>
      <c r="M10" s="301">
        <v>19821500</v>
      </c>
      <c r="N10" s="301">
        <v>18800101</v>
      </c>
      <c r="O10" s="301">
        <v>18587918</v>
      </c>
      <c r="P10" s="301">
        <v>18045279</v>
      </c>
      <c r="Q10" s="301">
        <v>19166163</v>
      </c>
      <c r="R10" s="302">
        <f t="shared" si="0"/>
        <v>0.062115082842443166</v>
      </c>
    </row>
    <row r="11" spans="1:18" ht="12.75">
      <c r="A11" s="96" t="s">
        <v>48</v>
      </c>
      <c r="B11" s="97">
        <v>23842324</v>
      </c>
      <c r="C11" s="97">
        <v>23647190</v>
      </c>
      <c r="D11" s="97">
        <v>22163041</v>
      </c>
      <c r="E11" s="97">
        <v>23193899</v>
      </c>
      <c r="F11" s="97">
        <v>25169292</v>
      </c>
      <c r="G11" s="97">
        <v>20781674</v>
      </c>
      <c r="H11" s="97">
        <v>18304956</v>
      </c>
      <c r="I11" s="97">
        <v>15918483</v>
      </c>
      <c r="J11" s="97">
        <v>15745276</v>
      </c>
      <c r="K11" s="97">
        <v>14767267</v>
      </c>
      <c r="L11" s="97">
        <v>13473831</v>
      </c>
      <c r="M11" s="97">
        <v>13973488</v>
      </c>
      <c r="N11" s="97">
        <v>12818854</v>
      </c>
      <c r="O11" s="97">
        <v>12695826</v>
      </c>
      <c r="P11" s="97">
        <v>13044169</v>
      </c>
      <c r="Q11" s="97">
        <v>12669965</v>
      </c>
      <c r="R11" s="98">
        <f t="shared" si="0"/>
        <v>-0.02868745414138685</v>
      </c>
    </row>
    <row r="12" spans="1:18" ht="12.75">
      <c r="A12" s="265" t="s">
        <v>80</v>
      </c>
      <c r="B12" s="301">
        <v>11769667</v>
      </c>
      <c r="C12" s="301">
        <v>12169271</v>
      </c>
      <c r="D12" s="301">
        <v>12217635</v>
      </c>
      <c r="E12" s="301">
        <v>13067609</v>
      </c>
      <c r="F12" s="301">
        <v>13335387</v>
      </c>
      <c r="G12" s="301">
        <v>13325799</v>
      </c>
      <c r="H12" s="301">
        <v>9801228</v>
      </c>
      <c r="I12" s="301">
        <v>11427867</v>
      </c>
      <c r="J12" s="301">
        <v>10508668</v>
      </c>
      <c r="K12" s="301">
        <v>11125537</v>
      </c>
      <c r="L12" s="301">
        <v>11657987</v>
      </c>
      <c r="M12" s="301">
        <v>12514608</v>
      </c>
      <c r="N12" s="301">
        <v>13539904</v>
      </c>
      <c r="O12" s="301">
        <v>12580692</v>
      </c>
      <c r="P12" s="301">
        <v>13125744</v>
      </c>
      <c r="Q12" s="301">
        <v>14499793</v>
      </c>
      <c r="R12" s="302">
        <f t="shared" si="0"/>
        <v>0.10468351355930758</v>
      </c>
    </row>
    <row r="13" spans="1:18" ht="12.75">
      <c r="A13" s="96" t="s">
        <v>43</v>
      </c>
      <c r="B13" s="97">
        <v>19935400</v>
      </c>
      <c r="C13" s="97">
        <v>20408137</v>
      </c>
      <c r="D13" s="97">
        <v>21025694</v>
      </c>
      <c r="E13" s="97">
        <v>22443596</v>
      </c>
      <c r="F13" s="97">
        <v>22833556</v>
      </c>
      <c r="G13" s="97">
        <v>21395791</v>
      </c>
      <c r="H13" s="97">
        <v>17086112</v>
      </c>
      <c r="I13" s="97">
        <v>17289515</v>
      </c>
      <c r="J13" s="97">
        <v>15777101</v>
      </c>
      <c r="K13" s="97">
        <v>13711903</v>
      </c>
      <c r="L13" s="97">
        <v>12236854</v>
      </c>
      <c r="M13" s="97">
        <v>11516007</v>
      </c>
      <c r="N13" s="97">
        <v>11373639</v>
      </c>
      <c r="O13" s="97">
        <v>10452860</v>
      </c>
      <c r="P13" s="97">
        <v>10191236</v>
      </c>
      <c r="Q13" s="97">
        <v>10018045</v>
      </c>
      <c r="R13" s="98">
        <f t="shared" si="0"/>
        <v>-0.016994111411020214</v>
      </c>
    </row>
    <row r="14" spans="1:18" ht="12.75">
      <c r="A14" s="265" t="s">
        <v>50</v>
      </c>
      <c r="B14" s="301">
        <v>4287514</v>
      </c>
      <c r="C14" s="301">
        <v>5053487</v>
      </c>
      <c r="D14" s="301">
        <v>6352705</v>
      </c>
      <c r="E14" s="301">
        <v>11582808</v>
      </c>
      <c r="F14" s="301">
        <v>7395854</v>
      </c>
      <c r="G14" s="301">
        <v>6102264</v>
      </c>
      <c r="H14" s="301">
        <v>4981058</v>
      </c>
      <c r="I14" s="301">
        <v>5468086</v>
      </c>
      <c r="J14" s="301">
        <v>5126653</v>
      </c>
      <c r="K14" s="301">
        <v>4773533</v>
      </c>
      <c r="L14" s="301">
        <v>5070678</v>
      </c>
      <c r="M14" s="301">
        <v>5639473</v>
      </c>
      <c r="N14" s="301">
        <v>6007279</v>
      </c>
      <c r="O14" s="301">
        <v>6618807</v>
      </c>
      <c r="P14" s="301">
        <v>10709220</v>
      </c>
      <c r="Q14" s="301">
        <v>12561953</v>
      </c>
      <c r="R14" s="302">
        <f t="shared" si="0"/>
        <v>0.17300354274167493</v>
      </c>
    </row>
    <row r="15" spans="1:18" ht="12.75">
      <c r="A15" s="96" t="s">
        <v>44</v>
      </c>
      <c r="B15" s="97">
        <v>8775214</v>
      </c>
      <c r="C15" s="97">
        <v>9218052</v>
      </c>
      <c r="D15" s="97">
        <v>9770442</v>
      </c>
      <c r="E15" s="97">
        <v>9414806</v>
      </c>
      <c r="F15" s="97">
        <v>9168073</v>
      </c>
      <c r="G15" s="97">
        <v>8567093</v>
      </c>
      <c r="H15" s="97">
        <v>5371225</v>
      </c>
      <c r="I15" s="97">
        <v>4293618</v>
      </c>
      <c r="J15" s="97">
        <v>4479650</v>
      </c>
      <c r="K15" s="97">
        <v>3904961</v>
      </c>
      <c r="L15" s="97">
        <v>3395381</v>
      </c>
      <c r="M15" s="97">
        <v>3376349</v>
      </c>
      <c r="N15" s="97">
        <v>2844257</v>
      </c>
      <c r="O15" s="97">
        <v>2809261</v>
      </c>
      <c r="P15" s="97">
        <v>2796821</v>
      </c>
      <c r="Q15" s="97">
        <v>2482906</v>
      </c>
      <c r="R15" s="98">
        <f t="shared" si="0"/>
        <v>-0.11223993240897433</v>
      </c>
    </row>
    <row r="16" spans="1:18" ht="12.75">
      <c r="A16" s="265" t="s">
        <v>49</v>
      </c>
      <c r="B16" s="301">
        <v>3813599</v>
      </c>
      <c r="C16" s="301">
        <v>4152815</v>
      </c>
      <c r="D16" s="301">
        <v>3956726</v>
      </c>
      <c r="E16" s="301">
        <v>3417746</v>
      </c>
      <c r="F16" s="301">
        <v>3230949</v>
      </c>
      <c r="G16" s="301">
        <v>3178758</v>
      </c>
      <c r="H16" s="301">
        <v>2691468</v>
      </c>
      <c r="I16" s="301">
        <v>2547998</v>
      </c>
      <c r="J16" s="301">
        <v>2633519</v>
      </c>
      <c r="K16" s="301">
        <v>2262750</v>
      </c>
      <c r="L16" s="301">
        <v>2536246</v>
      </c>
      <c r="M16" s="301">
        <v>2855628</v>
      </c>
      <c r="N16" s="301">
        <v>2871723</v>
      </c>
      <c r="O16" s="301">
        <v>2974297</v>
      </c>
      <c r="P16" s="301">
        <v>1956389</v>
      </c>
      <c r="Q16" s="301">
        <v>1216385</v>
      </c>
      <c r="R16" s="302">
        <f t="shared" si="0"/>
        <v>-0.37824992882294883</v>
      </c>
    </row>
    <row r="17" spans="1:18" ht="12.75">
      <c r="A17" s="96" t="s">
        <v>176</v>
      </c>
      <c r="B17" s="97">
        <v>5847314</v>
      </c>
      <c r="C17" s="97">
        <v>6036750</v>
      </c>
      <c r="D17" s="97">
        <v>5193241</v>
      </c>
      <c r="E17" s="97">
        <v>4931294</v>
      </c>
      <c r="F17" s="97">
        <v>4533944</v>
      </c>
      <c r="G17" s="97">
        <v>5982313</v>
      </c>
      <c r="H17" s="97">
        <v>3199730</v>
      </c>
      <c r="I17" s="97">
        <v>3112660</v>
      </c>
      <c r="J17" s="97">
        <v>3011643</v>
      </c>
      <c r="K17" s="97">
        <v>2525608</v>
      </c>
      <c r="L17" s="97">
        <v>2589198</v>
      </c>
      <c r="M17" s="97">
        <v>2637816</v>
      </c>
      <c r="N17" s="97">
        <v>3587115</v>
      </c>
      <c r="O17" s="97">
        <v>5461457</v>
      </c>
      <c r="P17" s="97">
        <v>5365947</v>
      </c>
      <c r="Q17" s="97">
        <v>4013880</v>
      </c>
      <c r="R17" s="98">
        <f t="shared" si="0"/>
        <v>-0.2519717395643304</v>
      </c>
    </row>
    <row r="18" spans="1:18" ht="12.75">
      <c r="A18" s="265" t="s">
        <v>175</v>
      </c>
      <c r="B18" s="301">
        <v>6837573</v>
      </c>
      <c r="C18" s="301">
        <v>6811326</v>
      </c>
      <c r="D18" s="301">
        <v>5493316</v>
      </c>
      <c r="E18" s="301">
        <v>5399391</v>
      </c>
      <c r="F18" s="301">
        <v>5828705</v>
      </c>
      <c r="G18" s="301">
        <v>4800271</v>
      </c>
      <c r="H18" s="301">
        <v>3400994</v>
      </c>
      <c r="I18" s="301">
        <v>3063993</v>
      </c>
      <c r="J18" s="301">
        <v>2991646</v>
      </c>
      <c r="K18" s="301">
        <v>2711468</v>
      </c>
      <c r="L18" s="301">
        <v>2661017</v>
      </c>
      <c r="M18" s="301">
        <v>2497575</v>
      </c>
      <c r="N18" s="301">
        <v>2472558</v>
      </c>
      <c r="O18" s="301">
        <v>2287656</v>
      </c>
      <c r="P18" s="301">
        <v>2866680</v>
      </c>
      <c r="Q18" s="301">
        <v>2768334</v>
      </c>
      <c r="R18" s="302">
        <f t="shared" si="0"/>
        <v>-0.03430658462053665</v>
      </c>
    </row>
    <row r="19" spans="1:18" ht="12.75">
      <c r="A19" s="96" t="s">
        <v>52</v>
      </c>
      <c r="B19" s="97">
        <v>5318564</v>
      </c>
      <c r="C19" s="97">
        <v>4938613</v>
      </c>
      <c r="D19" s="97">
        <v>3805386</v>
      </c>
      <c r="E19" s="97">
        <v>2587799</v>
      </c>
      <c r="F19" s="97">
        <v>2749964</v>
      </c>
      <c r="G19" s="97">
        <v>2418798</v>
      </c>
      <c r="H19" s="97">
        <v>1988641</v>
      </c>
      <c r="I19" s="97">
        <v>1964349</v>
      </c>
      <c r="J19" s="97">
        <v>1787504</v>
      </c>
      <c r="K19" s="97">
        <v>1815840</v>
      </c>
      <c r="L19" s="97">
        <v>1928838</v>
      </c>
      <c r="M19" s="97">
        <v>2095449</v>
      </c>
      <c r="N19" s="97">
        <v>2311393</v>
      </c>
      <c r="O19" s="97">
        <v>2296632</v>
      </c>
      <c r="P19" s="97">
        <v>2693251</v>
      </c>
      <c r="Q19" s="97">
        <v>3019642</v>
      </c>
      <c r="R19" s="98">
        <f t="shared" si="0"/>
        <v>0.12118848187562169</v>
      </c>
    </row>
    <row r="20" spans="1:18" ht="12.75">
      <c r="A20" s="265" t="s">
        <v>45</v>
      </c>
      <c r="B20" s="301">
        <v>7492796</v>
      </c>
      <c r="C20" s="301">
        <v>7996939</v>
      </c>
      <c r="D20" s="301">
        <v>6629129</v>
      </c>
      <c r="E20" s="301">
        <v>6113887</v>
      </c>
      <c r="F20" s="301">
        <v>5784899</v>
      </c>
      <c r="G20" s="301">
        <v>5429589</v>
      </c>
      <c r="H20" s="301">
        <v>4146784</v>
      </c>
      <c r="I20" s="301">
        <v>3787434</v>
      </c>
      <c r="J20" s="301">
        <v>2872585</v>
      </c>
      <c r="K20" s="301">
        <v>2108324</v>
      </c>
      <c r="L20" s="301">
        <v>2081908</v>
      </c>
      <c r="M20" s="301">
        <v>2050126</v>
      </c>
      <c r="N20" s="301">
        <v>1805664</v>
      </c>
      <c r="O20" s="301">
        <v>1776502</v>
      </c>
      <c r="P20" s="301">
        <v>1825362</v>
      </c>
      <c r="Q20" s="301">
        <v>1606594</v>
      </c>
      <c r="R20" s="302">
        <f t="shared" si="0"/>
        <v>-0.11984910390377361</v>
      </c>
    </row>
    <row r="21" spans="1:18" ht="12.75">
      <c r="A21" s="96" t="s">
        <v>46</v>
      </c>
      <c r="B21" s="97">
        <v>4232712</v>
      </c>
      <c r="C21" s="97">
        <v>4510441</v>
      </c>
      <c r="D21" s="97">
        <v>4350295</v>
      </c>
      <c r="E21" s="97">
        <v>4427140</v>
      </c>
      <c r="F21" s="97">
        <v>4308513</v>
      </c>
      <c r="G21" s="97">
        <v>3928387</v>
      </c>
      <c r="H21" s="97">
        <v>3137670</v>
      </c>
      <c r="I21" s="97">
        <v>3196183</v>
      </c>
      <c r="J21" s="97">
        <v>2755176</v>
      </c>
      <c r="K21" s="97">
        <v>2616049</v>
      </c>
      <c r="L21" s="97">
        <v>2190183</v>
      </c>
      <c r="M21" s="97">
        <v>2020675</v>
      </c>
      <c r="N21" s="97">
        <v>2023409</v>
      </c>
      <c r="O21" s="97">
        <v>1831440</v>
      </c>
      <c r="P21" s="97">
        <v>1746591</v>
      </c>
      <c r="Q21" s="97">
        <v>1616512</v>
      </c>
      <c r="R21" s="98">
        <f t="shared" si="0"/>
        <v>-0.07447593626670468</v>
      </c>
    </row>
    <row r="22" spans="1:18" ht="12.75">
      <c r="A22" s="265" t="s">
        <v>51</v>
      </c>
      <c r="B22" s="301">
        <v>3705013</v>
      </c>
      <c r="C22" s="301">
        <v>3975395</v>
      </c>
      <c r="D22" s="301">
        <v>3829024</v>
      </c>
      <c r="E22" s="301">
        <v>3686591</v>
      </c>
      <c r="F22" s="301">
        <v>3668973</v>
      </c>
      <c r="G22" s="301">
        <v>3244377</v>
      </c>
      <c r="H22" s="301">
        <v>2621426</v>
      </c>
      <c r="I22" s="301">
        <v>2400291</v>
      </c>
      <c r="J22" s="301">
        <v>2070983</v>
      </c>
      <c r="K22" s="301">
        <v>1789942</v>
      </c>
      <c r="L22" s="301">
        <v>1633505</v>
      </c>
      <c r="M22" s="301">
        <v>1422038</v>
      </c>
      <c r="N22" s="301">
        <v>1502309</v>
      </c>
      <c r="O22" s="301">
        <v>1391088</v>
      </c>
      <c r="P22" s="301">
        <v>1474322</v>
      </c>
      <c r="Q22" s="301">
        <v>1221808</v>
      </c>
      <c r="R22" s="302">
        <f t="shared" si="0"/>
        <v>-0.17127466048800738</v>
      </c>
    </row>
    <row r="23" spans="1:18" ht="12.75">
      <c r="A23" s="96" t="s">
        <v>47</v>
      </c>
      <c r="B23" s="97">
        <v>3694598</v>
      </c>
      <c r="C23" s="97">
        <v>3639811</v>
      </c>
      <c r="D23" s="97">
        <v>3178876</v>
      </c>
      <c r="E23" s="97">
        <v>3196903</v>
      </c>
      <c r="F23" s="97">
        <v>3127004</v>
      </c>
      <c r="G23" s="97">
        <v>2722661</v>
      </c>
      <c r="H23" s="97">
        <v>1913333</v>
      </c>
      <c r="I23" s="97">
        <v>1710603</v>
      </c>
      <c r="J23" s="97">
        <v>1557664</v>
      </c>
      <c r="K23" s="97">
        <v>1212677</v>
      </c>
      <c r="L23" s="97">
        <v>1022116</v>
      </c>
      <c r="M23" s="97">
        <v>978157</v>
      </c>
      <c r="N23" s="97">
        <v>937235</v>
      </c>
      <c r="O23" s="97">
        <v>944873</v>
      </c>
      <c r="P23" s="97">
        <v>946566</v>
      </c>
      <c r="Q23" s="97">
        <v>874097</v>
      </c>
      <c r="R23" s="98">
        <f t="shared" si="0"/>
        <v>-0.0765599017923737</v>
      </c>
    </row>
    <row r="24" spans="1:18" ht="12.75">
      <c r="A24" s="265" t="s">
        <v>56</v>
      </c>
      <c r="B24" s="301">
        <v>1433112</v>
      </c>
      <c r="C24" s="301">
        <v>1502289</v>
      </c>
      <c r="D24" s="301">
        <v>1439028</v>
      </c>
      <c r="E24" s="301">
        <v>1382556</v>
      </c>
      <c r="F24" s="301">
        <v>1398325</v>
      </c>
      <c r="G24" s="301">
        <v>1277264</v>
      </c>
      <c r="H24" s="301">
        <v>1083782</v>
      </c>
      <c r="I24" s="301">
        <v>959007</v>
      </c>
      <c r="J24" s="301">
        <v>851928</v>
      </c>
      <c r="K24" s="301">
        <v>686388</v>
      </c>
      <c r="L24" s="301">
        <v>577505</v>
      </c>
      <c r="M24" s="301">
        <v>549110</v>
      </c>
      <c r="N24" s="301">
        <v>565287</v>
      </c>
      <c r="O24" s="301">
        <v>583681</v>
      </c>
      <c r="P24" s="301">
        <v>617076</v>
      </c>
      <c r="Q24" s="301">
        <v>565091</v>
      </c>
      <c r="R24" s="302">
        <f t="shared" si="0"/>
        <v>-0.08424408014571949</v>
      </c>
    </row>
    <row r="25" spans="1:18" ht="12.75">
      <c r="A25" s="96" t="s">
        <v>55</v>
      </c>
      <c r="B25" s="97">
        <v>1134407</v>
      </c>
      <c r="C25" s="97">
        <v>1029729</v>
      </c>
      <c r="D25" s="97">
        <v>1363187</v>
      </c>
      <c r="E25" s="97">
        <v>1252411</v>
      </c>
      <c r="F25" s="97">
        <v>1952616</v>
      </c>
      <c r="G25" s="97">
        <v>1481939</v>
      </c>
      <c r="H25" s="97">
        <v>796720</v>
      </c>
      <c r="I25" s="97">
        <v>901192</v>
      </c>
      <c r="J25" s="97">
        <v>1113664</v>
      </c>
      <c r="K25" s="97">
        <v>570900</v>
      </c>
      <c r="L25" s="97">
        <v>448304</v>
      </c>
      <c r="M25" s="97">
        <v>435718</v>
      </c>
      <c r="N25" s="97">
        <v>536522</v>
      </c>
      <c r="O25" s="97">
        <v>476063</v>
      </c>
      <c r="P25" s="97">
        <v>771315</v>
      </c>
      <c r="Q25" s="97">
        <v>1060645</v>
      </c>
      <c r="R25" s="98">
        <f t="shared" si="0"/>
        <v>0.3751126323227216</v>
      </c>
    </row>
    <row r="26" spans="1:18" ht="12.75">
      <c r="A26" s="265" t="s">
        <v>64</v>
      </c>
      <c r="B26" s="301">
        <v>479304</v>
      </c>
      <c r="C26" s="301">
        <v>387392</v>
      </c>
      <c r="D26" s="301">
        <v>323240</v>
      </c>
      <c r="E26" s="301">
        <v>431475</v>
      </c>
      <c r="F26" s="301">
        <v>434097</v>
      </c>
      <c r="G26" s="301">
        <v>386340</v>
      </c>
      <c r="H26" s="301">
        <v>350606</v>
      </c>
      <c r="I26" s="301">
        <v>340760</v>
      </c>
      <c r="J26" s="301">
        <v>265905</v>
      </c>
      <c r="K26" s="301">
        <v>235770</v>
      </c>
      <c r="L26" s="301">
        <v>164410</v>
      </c>
      <c r="M26" s="301">
        <v>136482</v>
      </c>
      <c r="N26" s="301">
        <v>136177</v>
      </c>
      <c r="O26" s="301">
        <v>141347</v>
      </c>
      <c r="P26" s="301">
        <v>134966</v>
      </c>
      <c r="Q26" s="301">
        <v>127817</v>
      </c>
      <c r="R26" s="302">
        <f t="shared" si="0"/>
        <v>-0.05296889587007098</v>
      </c>
    </row>
    <row r="27" spans="1:18" ht="12.75">
      <c r="A27" s="96" t="s">
        <v>3</v>
      </c>
      <c r="B27" s="97">
        <v>289947</v>
      </c>
      <c r="C27" s="97">
        <v>142973</v>
      </c>
      <c r="D27" s="97">
        <v>240696</v>
      </c>
      <c r="E27" s="97">
        <v>484407</v>
      </c>
      <c r="F27" s="97">
        <v>234180</v>
      </c>
      <c r="G27" s="97">
        <v>184127</v>
      </c>
      <c r="H27" s="97">
        <v>71268</v>
      </c>
      <c r="I27" s="97">
        <v>63467</v>
      </c>
      <c r="J27" s="97">
        <v>62495</v>
      </c>
      <c r="K27" s="97">
        <v>133910</v>
      </c>
      <c r="L27" s="97">
        <v>45809</v>
      </c>
      <c r="M27" s="97">
        <v>90364</v>
      </c>
      <c r="N27" s="97">
        <v>96168</v>
      </c>
      <c r="O27" s="97">
        <v>51364</v>
      </c>
      <c r="P27" s="97">
        <v>125501</v>
      </c>
      <c r="Q27" s="97">
        <v>132962</v>
      </c>
      <c r="R27" s="98">
        <f t="shared" si="0"/>
        <v>0.05944972550019522</v>
      </c>
    </row>
    <row r="28" spans="1:18" ht="12.75">
      <c r="A28" s="265" t="s">
        <v>66</v>
      </c>
      <c r="B28" s="301">
        <v>173657</v>
      </c>
      <c r="C28" s="301">
        <v>172947</v>
      </c>
      <c r="D28" s="301">
        <v>173905</v>
      </c>
      <c r="E28" s="301">
        <v>164020</v>
      </c>
      <c r="F28" s="301">
        <v>171379</v>
      </c>
      <c r="G28" s="301">
        <v>171717</v>
      </c>
      <c r="H28" s="301">
        <v>153967</v>
      </c>
      <c r="I28" s="301">
        <v>145443</v>
      </c>
      <c r="J28" s="301">
        <v>135042</v>
      </c>
      <c r="K28" s="301">
        <v>112608</v>
      </c>
      <c r="L28" s="301">
        <v>104285</v>
      </c>
      <c r="M28" s="301">
        <v>74153</v>
      </c>
      <c r="N28" s="301">
        <v>75031</v>
      </c>
      <c r="O28" s="301">
        <v>71104</v>
      </c>
      <c r="P28" s="301">
        <v>66304</v>
      </c>
      <c r="Q28" s="301">
        <v>66051</v>
      </c>
      <c r="R28" s="302">
        <f t="shared" si="0"/>
        <v>-0.003815757722007722</v>
      </c>
    </row>
    <row r="29" spans="1:18" ht="12.75">
      <c r="A29" s="96" t="s">
        <v>54</v>
      </c>
      <c r="B29" s="97">
        <v>484441</v>
      </c>
      <c r="C29" s="97">
        <v>420256</v>
      </c>
      <c r="D29" s="97">
        <v>230301</v>
      </c>
      <c r="E29" s="97">
        <v>199498</v>
      </c>
      <c r="F29" s="97">
        <v>196741</v>
      </c>
      <c r="G29" s="97">
        <v>139465</v>
      </c>
      <c r="H29" s="97">
        <v>113149</v>
      </c>
      <c r="I29" s="97">
        <v>110645</v>
      </c>
      <c r="J29" s="97">
        <v>136772</v>
      </c>
      <c r="K29" s="97">
        <v>101782</v>
      </c>
      <c r="L29" s="97">
        <v>94361</v>
      </c>
      <c r="M29" s="97">
        <v>71202</v>
      </c>
      <c r="N29" s="97">
        <v>64237</v>
      </c>
      <c r="O29" s="97">
        <v>53638</v>
      </c>
      <c r="P29" s="97">
        <v>32860</v>
      </c>
      <c r="Q29" s="97">
        <v>33038</v>
      </c>
      <c r="R29" s="98">
        <f t="shared" si="0"/>
        <v>0.0054169202678027994</v>
      </c>
    </row>
    <row r="30" spans="1:18" ht="12.75">
      <c r="A30" s="265" t="s">
        <v>58</v>
      </c>
      <c r="B30" s="301">
        <v>541944</v>
      </c>
      <c r="C30" s="301">
        <v>539184</v>
      </c>
      <c r="D30" s="301">
        <v>422743</v>
      </c>
      <c r="E30" s="301">
        <v>554039</v>
      </c>
      <c r="F30" s="301">
        <v>291307</v>
      </c>
      <c r="G30" s="301">
        <v>283571</v>
      </c>
      <c r="H30" s="301">
        <v>239692</v>
      </c>
      <c r="I30" s="301">
        <v>244819</v>
      </c>
      <c r="J30" s="301">
        <v>251966</v>
      </c>
      <c r="K30" s="301">
        <v>195614</v>
      </c>
      <c r="L30" s="301">
        <v>66816</v>
      </c>
      <c r="M30" s="301">
        <v>60824</v>
      </c>
      <c r="N30" s="301">
        <v>140669</v>
      </c>
      <c r="O30" s="301">
        <v>184307</v>
      </c>
      <c r="P30" s="301">
        <v>157169</v>
      </c>
      <c r="Q30" s="301">
        <v>163907</v>
      </c>
      <c r="R30" s="302">
        <f t="shared" si="0"/>
        <v>0.0428710496344699</v>
      </c>
    </row>
    <row r="31" spans="1:18" ht="12.75">
      <c r="A31" s="96" t="s">
        <v>63</v>
      </c>
      <c r="B31" s="97">
        <v>96556</v>
      </c>
      <c r="C31" s="97">
        <v>325183</v>
      </c>
      <c r="D31" s="97">
        <v>415186</v>
      </c>
      <c r="E31" s="97">
        <v>282202</v>
      </c>
      <c r="F31" s="97">
        <v>245872</v>
      </c>
      <c r="G31" s="97">
        <v>63791</v>
      </c>
      <c r="H31" s="97">
        <v>31083</v>
      </c>
      <c r="I31" s="97">
        <v>18809</v>
      </c>
      <c r="J31" s="97">
        <v>32031</v>
      </c>
      <c r="K31" s="97">
        <v>35545</v>
      </c>
      <c r="L31" s="97">
        <v>20416</v>
      </c>
      <c r="M31" s="97">
        <v>30735</v>
      </c>
      <c r="N31" s="97">
        <v>3313</v>
      </c>
      <c r="O31" s="97">
        <v>4559</v>
      </c>
      <c r="P31" s="97">
        <v>3244</v>
      </c>
      <c r="Q31" s="97">
        <v>6697</v>
      </c>
      <c r="R31" s="98">
        <f t="shared" si="0"/>
        <v>1.06442663378545</v>
      </c>
    </row>
    <row r="32" spans="1:18" ht="12.75">
      <c r="A32" s="265" t="s">
        <v>60</v>
      </c>
      <c r="B32" s="301">
        <v>208501</v>
      </c>
      <c r="C32" s="301">
        <v>678217</v>
      </c>
      <c r="D32" s="301">
        <v>303454</v>
      </c>
      <c r="E32" s="301">
        <v>120804</v>
      </c>
      <c r="F32" s="301">
        <v>31012</v>
      </c>
      <c r="G32" s="301">
        <v>34650</v>
      </c>
      <c r="H32" s="301">
        <v>75174</v>
      </c>
      <c r="I32" s="301">
        <v>31890</v>
      </c>
      <c r="J32" s="301">
        <v>46200</v>
      </c>
      <c r="K32" s="301">
        <v>18756</v>
      </c>
      <c r="L32" s="301">
        <v>28514</v>
      </c>
      <c r="M32" s="301">
        <v>21744</v>
      </c>
      <c r="N32" s="301">
        <v>78404</v>
      </c>
      <c r="O32" s="301">
        <v>29862</v>
      </c>
      <c r="P32" s="301">
        <v>25545</v>
      </c>
      <c r="Q32" s="301">
        <v>149687</v>
      </c>
      <c r="R32" s="302">
        <f t="shared" si="0"/>
        <v>4.859737717752985</v>
      </c>
    </row>
    <row r="33" spans="1:18" ht="12.75">
      <c r="A33" s="96" t="s">
        <v>57</v>
      </c>
      <c r="B33" s="97">
        <v>59353</v>
      </c>
      <c r="C33" s="97">
        <v>51138</v>
      </c>
      <c r="D33" s="97">
        <v>52779</v>
      </c>
      <c r="E33" s="97">
        <v>35550</v>
      </c>
      <c r="F33" s="97">
        <v>19890</v>
      </c>
      <c r="G33" s="97">
        <v>21322</v>
      </c>
      <c r="H33" s="97">
        <v>16238</v>
      </c>
      <c r="I33" s="97">
        <v>14074</v>
      </c>
      <c r="J33" s="97">
        <v>9836</v>
      </c>
      <c r="K33" s="97">
        <v>8632</v>
      </c>
      <c r="L33" s="97">
        <v>12204</v>
      </c>
      <c r="M33" s="97">
        <v>8588</v>
      </c>
      <c r="N33" s="97">
        <v>19224</v>
      </c>
      <c r="O33" s="97">
        <v>32118</v>
      </c>
      <c r="P33" s="97">
        <v>2041</v>
      </c>
      <c r="Q33" s="97">
        <v>9059</v>
      </c>
      <c r="R33" s="98">
        <f t="shared" si="0"/>
        <v>3.4385105340519355</v>
      </c>
    </row>
    <row r="34" spans="1:18" ht="12.75">
      <c r="A34" s="265" t="s">
        <v>62</v>
      </c>
      <c r="B34" s="301">
        <v>186276</v>
      </c>
      <c r="C34" s="301">
        <v>119427</v>
      </c>
      <c r="D34" s="301">
        <v>138754</v>
      </c>
      <c r="E34" s="301">
        <v>59217</v>
      </c>
      <c r="F34" s="301">
        <v>47455</v>
      </c>
      <c r="G34" s="301">
        <v>52942</v>
      </c>
      <c r="H34" s="301">
        <v>44578</v>
      </c>
      <c r="I34" s="301">
        <v>42548</v>
      </c>
      <c r="J34" s="301">
        <v>34162</v>
      </c>
      <c r="K34" s="301">
        <v>12061</v>
      </c>
      <c r="L34" s="301">
        <v>2822</v>
      </c>
      <c r="M34" s="301">
        <v>8277</v>
      </c>
      <c r="N34" s="301">
        <v>4279</v>
      </c>
      <c r="O34" s="301">
        <v>2006</v>
      </c>
      <c r="P34" s="301">
        <v>7293</v>
      </c>
      <c r="Q34" s="301">
        <v>29302</v>
      </c>
      <c r="R34" s="302">
        <f t="shared" si="0"/>
        <v>3.017825311942959</v>
      </c>
    </row>
    <row r="35" spans="1:18" ht="12.75">
      <c r="A35" s="96" t="s">
        <v>78</v>
      </c>
      <c r="B35" s="97">
        <v>146665</v>
      </c>
      <c r="C35" s="97">
        <v>98300</v>
      </c>
      <c r="D35" s="97">
        <v>239525</v>
      </c>
      <c r="E35" s="97">
        <v>107431</v>
      </c>
      <c r="F35" s="97">
        <v>89927</v>
      </c>
      <c r="G35" s="97">
        <v>90428</v>
      </c>
      <c r="H35" s="97">
        <v>97584</v>
      </c>
      <c r="I35" s="97">
        <v>98465</v>
      </c>
      <c r="J35" s="97">
        <v>54437</v>
      </c>
      <c r="K35" s="97">
        <v>33044</v>
      </c>
      <c r="L35" s="97">
        <v>4378</v>
      </c>
      <c r="M35" s="97">
        <v>7510</v>
      </c>
      <c r="N35" s="97">
        <v>6966</v>
      </c>
      <c r="O35" s="97">
        <v>283</v>
      </c>
      <c r="P35" s="97">
        <v>578</v>
      </c>
      <c r="Q35" s="97">
        <v>288</v>
      </c>
      <c r="R35" s="98">
        <f t="shared" si="0"/>
        <v>-0.5017301038062284</v>
      </c>
    </row>
    <row r="36" spans="1:18" ht="12.75">
      <c r="A36" s="265" t="s">
        <v>90</v>
      </c>
      <c r="B36" s="301">
        <v>101201</v>
      </c>
      <c r="C36" s="301">
        <v>85891</v>
      </c>
      <c r="D36" s="301">
        <v>65871</v>
      </c>
      <c r="E36" s="301">
        <v>69554</v>
      </c>
      <c r="F36" s="301">
        <v>72443</v>
      </c>
      <c r="G36" s="301">
        <v>66889</v>
      </c>
      <c r="H36" s="301">
        <v>41150</v>
      </c>
      <c r="I36" s="301">
        <v>37889</v>
      </c>
      <c r="J36" s="301">
        <v>34472</v>
      </c>
      <c r="K36" s="301">
        <v>27933</v>
      </c>
      <c r="L36" s="301">
        <v>12636</v>
      </c>
      <c r="M36" s="301">
        <v>3589</v>
      </c>
      <c r="N36" s="301">
        <v>990</v>
      </c>
      <c r="O36" s="301">
        <v>6449</v>
      </c>
      <c r="P36" s="301">
        <v>1291</v>
      </c>
      <c r="Q36" s="301">
        <v>336</v>
      </c>
      <c r="R36" s="302">
        <f t="shared" si="0"/>
        <v>-0.7397366382649109</v>
      </c>
    </row>
    <row r="37" spans="1:18" ht="12.75">
      <c r="A37" s="96" t="s">
        <v>85</v>
      </c>
      <c r="B37" s="99" t="s">
        <v>76</v>
      </c>
      <c r="C37" s="99" t="s">
        <v>76</v>
      </c>
      <c r="D37" s="99" t="s">
        <v>76</v>
      </c>
      <c r="E37" s="99" t="s">
        <v>76</v>
      </c>
      <c r="F37" s="99" t="s">
        <v>76</v>
      </c>
      <c r="G37" s="99" t="s">
        <v>76</v>
      </c>
      <c r="H37" s="99" t="s">
        <v>76</v>
      </c>
      <c r="I37" s="99">
        <v>1766</v>
      </c>
      <c r="J37" s="99">
        <v>308</v>
      </c>
      <c r="K37" s="99">
        <v>0</v>
      </c>
      <c r="L37" s="99">
        <v>0</v>
      </c>
      <c r="M37" s="99">
        <v>3493</v>
      </c>
      <c r="N37" s="99">
        <v>0</v>
      </c>
      <c r="O37" s="99">
        <v>0</v>
      </c>
      <c r="P37" s="99">
        <v>0</v>
      </c>
      <c r="Q37" s="99">
        <v>1600</v>
      </c>
      <c r="R37" s="98"/>
    </row>
    <row r="38" spans="1:18" ht="12.75">
      <c r="A38" s="265" t="s">
        <v>70</v>
      </c>
      <c r="B38" s="301">
        <v>2739</v>
      </c>
      <c r="C38" s="301">
        <v>3293</v>
      </c>
      <c r="D38" s="301">
        <v>6192</v>
      </c>
      <c r="E38" s="301">
        <v>4593</v>
      </c>
      <c r="F38" s="301">
        <v>638</v>
      </c>
      <c r="G38" s="301">
        <v>7863</v>
      </c>
      <c r="H38" s="301">
        <v>10577</v>
      </c>
      <c r="I38" s="301">
        <v>9199</v>
      </c>
      <c r="J38" s="301">
        <v>8239</v>
      </c>
      <c r="K38" s="301">
        <v>1712</v>
      </c>
      <c r="L38" s="301">
        <v>458</v>
      </c>
      <c r="M38" s="301">
        <v>808</v>
      </c>
      <c r="N38" s="301">
        <v>1121</v>
      </c>
      <c r="O38" s="301">
        <v>1166</v>
      </c>
      <c r="P38" s="301">
        <v>2193</v>
      </c>
      <c r="Q38" s="301">
        <v>1804</v>
      </c>
      <c r="R38" s="302">
        <f t="shared" si="0"/>
        <v>-0.1773825809393525</v>
      </c>
    </row>
    <row r="39" spans="1:18" ht="12.75">
      <c r="A39" s="96" t="s">
        <v>4</v>
      </c>
      <c r="B39" s="97">
        <v>4205</v>
      </c>
      <c r="C39" s="97">
        <v>11348</v>
      </c>
      <c r="D39" s="97">
        <v>17027</v>
      </c>
      <c r="E39" s="97">
        <v>5931</v>
      </c>
      <c r="F39" s="97">
        <v>11213</v>
      </c>
      <c r="G39" s="97">
        <v>119848</v>
      </c>
      <c r="H39" s="97">
        <v>9602</v>
      </c>
      <c r="I39" s="97">
        <v>241626</v>
      </c>
      <c r="J39" s="97">
        <v>34818</v>
      </c>
      <c r="K39" s="97">
        <v>14104</v>
      </c>
      <c r="L39" s="97">
        <v>60</v>
      </c>
      <c r="M39" s="97">
        <v>700</v>
      </c>
      <c r="N39" s="97">
        <v>10</v>
      </c>
      <c r="O39" s="97">
        <v>0</v>
      </c>
      <c r="P39" s="97">
        <v>0</v>
      </c>
      <c r="Q39" s="97">
        <v>0</v>
      </c>
      <c r="R39" s="98"/>
    </row>
    <row r="40" spans="1:18" ht="12.75">
      <c r="A40" s="265" t="s">
        <v>83</v>
      </c>
      <c r="B40" s="301">
        <v>74442</v>
      </c>
      <c r="C40" s="301">
        <v>19101</v>
      </c>
      <c r="D40" s="301">
        <v>4832</v>
      </c>
      <c r="E40" s="301">
        <v>6921</v>
      </c>
      <c r="F40" s="301">
        <v>1728</v>
      </c>
      <c r="G40" s="301">
        <v>2730</v>
      </c>
      <c r="H40" s="301">
        <v>8578</v>
      </c>
      <c r="I40" s="301">
        <v>2584</v>
      </c>
      <c r="J40" s="301">
        <v>1465</v>
      </c>
      <c r="K40" s="301">
        <v>175</v>
      </c>
      <c r="L40" s="301">
        <v>90</v>
      </c>
      <c r="M40" s="301">
        <v>382</v>
      </c>
      <c r="N40" s="301">
        <v>550</v>
      </c>
      <c r="O40" s="301">
        <v>40</v>
      </c>
      <c r="P40" s="301">
        <v>170</v>
      </c>
      <c r="Q40" s="301">
        <v>85</v>
      </c>
      <c r="R40" s="302">
        <f t="shared" si="0"/>
        <v>-0.5</v>
      </c>
    </row>
    <row r="41" spans="1:18" ht="12.75">
      <c r="A41" s="96" t="s">
        <v>59</v>
      </c>
      <c r="B41" s="97">
        <v>39817</v>
      </c>
      <c r="C41" s="97">
        <v>27274</v>
      </c>
      <c r="D41" s="97">
        <v>343835</v>
      </c>
      <c r="E41" s="97">
        <v>3119</v>
      </c>
      <c r="F41" s="97">
        <v>1473</v>
      </c>
      <c r="G41" s="97">
        <v>37482</v>
      </c>
      <c r="H41" s="97">
        <v>11076</v>
      </c>
      <c r="I41" s="97">
        <v>2207</v>
      </c>
      <c r="J41" s="97">
        <v>1055</v>
      </c>
      <c r="K41" s="97">
        <v>1076</v>
      </c>
      <c r="L41" s="97">
        <v>1828</v>
      </c>
      <c r="M41" s="97">
        <v>280</v>
      </c>
      <c r="N41" s="97">
        <v>318</v>
      </c>
      <c r="O41" s="97">
        <v>625</v>
      </c>
      <c r="P41" s="97">
        <v>0</v>
      </c>
      <c r="Q41" s="97">
        <v>0</v>
      </c>
      <c r="R41" s="98"/>
    </row>
    <row r="42" spans="1:18" ht="12.75">
      <c r="A42" s="265" t="s">
        <v>67</v>
      </c>
      <c r="B42" s="301">
        <v>9</v>
      </c>
      <c r="C42" s="301">
        <v>33</v>
      </c>
      <c r="D42" s="301">
        <v>352</v>
      </c>
      <c r="E42" s="301">
        <v>554</v>
      </c>
      <c r="F42" s="301">
        <v>341</v>
      </c>
      <c r="G42" s="301">
        <v>15979</v>
      </c>
      <c r="H42" s="301">
        <v>3711</v>
      </c>
      <c r="I42" s="301">
        <v>3927</v>
      </c>
      <c r="J42" s="301">
        <v>6697</v>
      </c>
      <c r="K42" s="301">
        <v>814</v>
      </c>
      <c r="L42" s="301">
        <v>462</v>
      </c>
      <c r="M42" s="301">
        <v>0</v>
      </c>
      <c r="N42" s="301">
        <v>0</v>
      </c>
      <c r="O42" s="301">
        <v>0</v>
      </c>
      <c r="P42" s="301">
        <v>176</v>
      </c>
      <c r="Q42" s="301">
        <v>0</v>
      </c>
      <c r="R42" s="302"/>
    </row>
    <row r="43" spans="1:18" ht="12.75">
      <c r="A43" s="96" t="s">
        <v>73</v>
      </c>
      <c r="B43" s="97" t="s">
        <v>76</v>
      </c>
      <c r="C43" s="97" t="s">
        <v>76</v>
      </c>
      <c r="D43" s="97" t="s">
        <v>76</v>
      </c>
      <c r="E43" s="97">
        <v>7</v>
      </c>
      <c r="F43" s="97">
        <v>10</v>
      </c>
      <c r="G43" s="97">
        <v>8924</v>
      </c>
      <c r="H43" s="97" t="s">
        <v>76</v>
      </c>
      <c r="I43" s="97" t="s">
        <v>76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8"/>
    </row>
    <row r="44" spans="1:18" ht="12.75">
      <c r="A44" s="265" t="s">
        <v>84</v>
      </c>
      <c r="B44" s="301">
        <v>0</v>
      </c>
      <c r="C44" s="301">
        <v>8148</v>
      </c>
      <c r="D44" s="301">
        <v>4643</v>
      </c>
      <c r="E44" s="301">
        <v>3396</v>
      </c>
      <c r="F44" s="301">
        <v>4520</v>
      </c>
      <c r="G44" s="301">
        <v>2655</v>
      </c>
      <c r="H44" s="301">
        <v>1037</v>
      </c>
      <c r="I44" s="301">
        <v>1128</v>
      </c>
      <c r="J44" s="301">
        <v>1180</v>
      </c>
      <c r="K44" s="301">
        <v>162</v>
      </c>
      <c r="L44" s="301">
        <v>0</v>
      </c>
      <c r="M44" s="301">
        <v>0</v>
      </c>
      <c r="N44" s="301">
        <v>0</v>
      </c>
      <c r="O44" s="301">
        <v>0</v>
      </c>
      <c r="P44" s="301">
        <v>0</v>
      </c>
      <c r="Q44" s="301">
        <v>0</v>
      </c>
      <c r="R44" s="302"/>
    </row>
    <row r="45" spans="1:18" ht="12.75">
      <c r="A45" s="96" t="s">
        <v>79</v>
      </c>
      <c r="B45" s="97">
        <v>1135</v>
      </c>
      <c r="C45" s="97">
        <v>18</v>
      </c>
      <c r="D45" s="97">
        <v>14333</v>
      </c>
      <c r="E45" s="97" t="s">
        <v>76</v>
      </c>
      <c r="F45" s="97">
        <v>1010</v>
      </c>
      <c r="G45" s="97">
        <v>10</v>
      </c>
      <c r="H45" s="97">
        <v>154</v>
      </c>
      <c r="I45" s="97">
        <v>42</v>
      </c>
      <c r="J45" s="97">
        <v>0</v>
      </c>
      <c r="K45" s="97">
        <v>125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8"/>
    </row>
    <row r="46" spans="1:18" ht="12.75">
      <c r="A46" s="265" t="s">
        <v>82</v>
      </c>
      <c r="B46" s="301" t="s">
        <v>76</v>
      </c>
      <c r="C46" s="301" t="s">
        <v>76</v>
      </c>
      <c r="D46" s="301" t="s">
        <v>76</v>
      </c>
      <c r="E46" s="301">
        <v>300</v>
      </c>
      <c r="F46" s="306" t="s">
        <v>76</v>
      </c>
      <c r="G46" s="306" t="s">
        <v>76</v>
      </c>
      <c r="H46" s="306" t="s">
        <v>76</v>
      </c>
      <c r="I46" s="306" t="s">
        <v>76</v>
      </c>
      <c r="J46" s="301">
        <v>0</v>
      </c>
      <c r="K46" s="301">
        <v>0</v>
      </c>
      <c r="L46" s="301">
        <v>0</v>
      </c>
      <c r="M46" s="301">
        <v>0</v>
      </c>
      <c r="N46" s="301">
        <v>0</v>
      </c>
      <c r="O46" s="301">
        <v>0</v>
      </c>
      <c r="P46" s="301">
        <v>0</v>
      </c>
      <c r="Q46" s="301">
        <v>0</v>
      </c>
      <c r="R46" s="302"/>
    </row>
    <row r="47" spans="1:18" ht="12.75">
      <c r="A47" s="96" t="s">
        <v>68</v>
      </c>
      <c r="B47" s="97">
        <v>19</v>
      </c>
      <c r="C47" s="97" t="s">
        <v>76</v>
      </c>
      <c r="D47" s="97" t="s">
        <v>76</v>
      </c>
      <c r="E47" s="97" t="s">
        <v>76</v>
      </c>
      <c r="F47" s="126">
        <v>80</v>
      </c>
      <c r="G47" s="126" t="s">
        <v>76</v>
      </c>
      <c r="H47" s="126" t="s">
        <v>76</v>
      </c>
      <c r="I47" s="126" t="s">
        <v>76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8"/>
    </row>
    <row r="48" spans="1:18" ht="12.75">
      <c r="A48" s="265" t="s">
        <v>72</v>
      </c>
      <c r="B48" s="301" t="s">
        <v>76</v>
      </c>
      <c r="C48" s="301" t="s">
        <v>76</v>
      </c>
      <c r="D48" s="301" t="s">
        <v>76</v>
      </c>
      <c r="E48" s="301" t="s">
        <v>76</v>
      </c>
      <c r="F48" s="306" t="s">
        <v>76</v>
      </c>
      <c r="G48" s="306" t="s">
        <v>76</v>
      </c>
      <c r="H48" s="306" t="s">
        <v>76</v>
      </c>
      <c r="I48" s="306" t="s">
        <v>76</v>
      </c>
      <c r="J48" s="301">
        <v>0</v>
      </c>
      <c r="K48" s="301">
        <v>0</v>
      </c>
      <c r="L48" s="301">
        <v>0</v>
      </c>
      <c r="M48" s="301">
        <v>0</v>
      </c>
      <c r="N48" s="301">
        <v>0</v>
      </c>
      <c r="O48" s="301">
        <v>0</v>
      </c>
      <c r="P48" s="301">
        <v>0</v>
      </c>
      <c r="Q48" s="301">
        <v>0</v>
      </c>
      <c r="R48" s="302"/>
    </row>
    <row r="49" spans="1:18" ht="12.75">
      <c r="A49" s="96" t="s">
        <v>69</v>
      </c>
      <c r="B49" s="97">
        <v>118</v>
      </c>
      <c r="C49" s="97">
        <v>8</v>
      </c>
      <c r="D49" s="97" t="s">
        <v>76</v>
      </c>
      <c r="E49" s="97" t="s">
        <v>76</v>
      </c>
      <c r="F49" s="126" t="s">
        <v>76</v>
      </c>
      <c r="G49" s="126" t="s">
        <v>76</v>
      </c>
      <c r="H49" s="126" t="s">
        <v>76</v>
      </c>
      <c r="I49" s="126" t="s">
        <v>76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8"/>
    </row>
    <row r="50" spans="1:18" ht="12.75">
      <c r="A50" s="265" t="s">
        <v>71</v>
      </c>
      <c r="B50" s="301" t="s">
        <v>76</v>
      </c>
      <c r="C50" s="301">
        <v>500</v>
      </c>
      <c r="D50" s="301">
        <v>2490</v>
      </c>
      <c r="E50" s="301" t="s">
        <v>76</v>
      </c>
      <c r="F50" s="306" t="s">
        <v>76</v>
      </c>
      <c r="G50" s="306" t="s">
        <v>76</v>
      </c>
      <c r="H50" s="306" t="s">
        <v>76</v>
      </c>
      <c r="I50" s="306" t="s">
        <v>76</v>
      </c>
      <c r="J50" s="301">
        <v>0</v>
      </c>
      <c r="K50" s="301">
        <v>0</v>
      </c>
      <c r="L50" s="301">
        <v>0</v>
      </c>
      <c r="M50" s="301">
        <v>0</v>
      </c>
      <c r="N50" s="301">
        <v>0</v>
      </c>
      <c r="O50" s="301">
        <v>114</v>
      </c>
      <c r="P50" s="301">
        <v>0</v>
      </c>
      <c r="Q50" s="301">
        <v>0</v>
      </c>
      <c r="R50" s="302"/>
    </row>
    <row r="51" spans="1:18" ht="12.75">
      <c r="A51" s="96" t="s">
        <v>75</v>
      </c>
      <c r="B51" s="97" t="s">
        <v>76</v>
      </c>
      <c r="C51" s="97" t="s">
        <v>76</v>
      </c>
      <c r="D51" s="97" t="s">
        <v>76</v>
      </c>
      <c r="E51" s="97" t="s">
        <v>76</v>
      </c>
      <c r="F51" s="126" t="s">
        <v>76</v>
      </c>
      <c r="G51" s="126" t="s">
        <v>76</v>
      </c>
      <c r="H51" s="126" t="s">
        <v>76</v>
      </c>
      <c r="I51" s="126" t="s">
        <v>76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8"/>
    </row>
    <row r="52" spans="1:18" ht="12.75">
      <c r="A52" s="265" t="s">
        <v>74</v>
      </c>
      <c r="B52" s="301" t="s">
        <v>76</v>
      </c>
      <c r="C52" s="301" t="s">
        <v>76</v>
      </c>
      <c r="D52" s="301" t="s">
        <v>76</v>
      </c>
      <c r="E52" s="301" t="s">
        <v>76</v>
      </c>
      <c r="F52" s="306" t="s">
        <v>76</v>
      </c>
      <c r="G52" s="306" t="s">
        <v>76</v>
      </c>
      <c r="H52" s="306" t="s">
        <v>76</v>
      </c>
      <c r="I52" s="306" t="s">
        <v>76</v>
      </c>
      <c r="J52" s="301">
        <v>0</v>
      </c>
      <c r="K52" s="301">
        <v>900</v>
      </c>
      <c r="L52" s="301">
        <v>426</v>
      </c>
      <c r="M52" s="301">
        <v>0</v>
      </c>
      <c r="N52" s="301">
        <v>0</v>
      </c>
      <c r="O52" s="301">
        <v>0</v>
      </c>
      <c r="P52" s="301">
        <v>0</v>
      </c>
      <c r="Q52" s="301">
        <v>0</v>
      </c>
      <c r="R52" s="302"/>
    </row>
    <row r="53" spans="1:18" ht="12.75">
      <c r="A53" s="96" t="s">
        <v>81</v>
      </c>
      <c r="B53" s="99" t="s">
        <v>76</v>
      </c>
      <c r="C53" s="99" t="s">
        <v>76</v>
      </c>
      <c r="D53" s="99" t="s">
        <v>76</v>
      </c>
      <c r="E53" s="99" t="s">
        <v>76</v>
      </c>
      <c r="F53" s="99" t="s">
        <v>76</v>
      </c>
      <c r="G53" s="99" t="s">
        <v>76</v>
      </c>
      <c r="H53" s="99" t="s">
        <v>76</v>
      </c>
      <c r="I53" s="99" t="s">
        <v>76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8"/>
    </row>
    <row r="54" spans="1:18" ht="12.75">
      <c r="A54" s="265" t="s">
        <v>131</v>
      </c>
      <c r="B54" s="307"/>
      <c r="C54" s="307"/>
      <c r="D54" s="307"/>
      <c r="E54" s="307"/>
      <c r="F54" s="307"/>
      <c r="G54" s="307"/>
      <c r="H54" s="307"/>
      <c r="I54" s="307"/>
      <c r="J54" s="307">
        <v>200</v>
      </c>
      <c r="K54" s="307">
        <v>0</v>
      </c>
      <c r="L54" s="307">
        <v>0</v>
      </c>
      <c r="M54" s="307">
        <v>0</v>
      </c>
      <c r="N54" s="307">
        <v>0</v>
      </c>
      <c r="O54" s="307">
        <v>0</v>
      </c>
      <c r="P54" s="307">
        <v>0</v>
      </c>
      <c r="Q54" s="307">
        <v>0</v>
      </c>
      <c r="R54" s="302"/>
    </row>
    <row r="55" spans="1:18" ht="12.75">
      <c r="A55" s="96"/>
      <c r="B55" s="100"/>
      <c r="C55" s="100"/>
      <c r="D55" s="100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3"/>
    </row>
    <row r="56" spans="1:18" ht="12.75">
      <c r="A56" s="308" t="s">
        <v>1</v>
      </c>
      <c r="B56" s="309">
        <f>SUM(B6:B55)</f>
        <v>580725449</v>
      </c>
      <c r="C56" s="309">
        <f>SUM(C6:C55)</f>
        <v>638120793</v>
      </c>
      <c r="D56" s="309">
        <f>SUM(D6:D55)</f>
        <v>616382085</v>
      </c>
      <c r="E56" s="309">
        <f>SUM(E6:E53)</f>
        <v>613602370</v>
      </c>
      <c r="F56" s="309">
        <f>SUM(F6:F53)</f>
        <v>627330375</v>
      </c>
      <c r="G56" s="309">
        <f>SUM(G6:G53)</f>
        <v>629634700</v>
      </c>
      <c r="H56" s="309">
        <f>SUM(H6:H53)</f>
        <v>564733858</v>
      </c>
      <c r="I56" s="309">
        <f>SUM(I6:I53)</f>
        <v>652146212</v>
      </c>
      <c r="J56" s="309">
        <v>672146043</v>
      </c>
      <c r="K56" s="309">
        <v>649744574</v>
      </c>
      <c r="L56" s="309">
        <v>638087365</v>
      </c>
      <c r="M56" s="309">
        <f>SUM(M6:M54)</f>
        <v>685209274</v>
      </c>
      <c r="N56" s="309">
        <v>715552111</v>
      </c>
      <c r="O56" s="309">
        <v>795575212</v>
      </c>
      <c r="P56" s="309">
        <v>918305644</v>
      </c>
      <c r="Q56" s="309">
        <v>1010873428</v>
      </c>
      <c r="R56" s="310">
        <f>(Q56-P56)/P56</f>
        <v>0.10080280416963222</v>
      </c>
    </row>
    <row r="57" spans="1:18" ht="12.75">
      <c r="A57" s="162" t="s">
        <v>77</v>
      </c>
      <c r="B57" s="96"/>
      <c r="C57" s="96"/>
      <c r="D57" s="96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98"/>
    </row>
    <row r="58" spans="5:18" ht="12.75"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98"/>
    </row>
    <row r="59" spans="5:18" ht="12.75"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98"/>
    </row>
    <row r="60" spans="5:18" ht="12.75"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98"/>
    </row>
    <row r="61" spans="5:18" ht="12.75"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98"/>
    </row>
    <row r="62" spans="5:18" ht="12.75"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98"/>
    </row>
    <row r="63" spans="5:18" ht="12.75"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98"/>
    </row>
    <row r="64" spans="5:18" ht="12.75"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98"/>
    </row>
    <row r="65" spans="5:18" ht="12.75"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98"/>
    </row>
    <row r="66" spans="5:18" ht="12.75"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98"/>
    </row>
    <row r="67" spans="5:18" ht="12.75"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98"/>
    </row>
    <row r="68" spans="5:18" ht="12.75"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98"/>
    </row>
    <row r="69" spans="5:18" ht="12.75"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98"/>
    </row>
    <row r="70" spans="5:18" ht="12.75"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98"/>
    </row>
    <row r="71" spans="5:18" ht="12.75"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98"/>
    </row>
    <row r="72" spans="5:18" ht="12.75"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98"/>
    </row>
    <row r="73" spans="5:18" ht="12.75"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98"/>
    </row>
    <row r="74" spans="5:18" ht="12.75"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98"/>
    </row>
    <row r="75" spans="5:18" ht="12.75"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98"/>
    </row>
    <row r="76" spans="5:18" ht="12.75"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98"/>
    </row>
    <row r="77" spans="5:18" ht="12.75"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98"/>
    </row>
    <row r="78" spans="5:18" ht="12.75"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98"/>
    </row>
    <row r="79" spans="5:18" ht="12.75"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98"/>
    </row>
    <row r="80" spans="5:18" ht="12.75"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98"/>
    </row>
    <row r="81" spans="5:18" ht="12.75"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98"/>
    </row>
    <row r="82" spans="5:18" ht="12.75"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98"/>
    </row>
    <row r="83" spans="5:18" ht="12.75"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98"/>
    </row>
    <row r="84" spans="5:18" ht="12.75"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98"/>
    </row>
    <row r="85" spans="5:18" ht="12.75"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98"/>
    </row>
    <row r="86" spans="5:18" ht="12.75"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98"/>
    </row>
    <row r="87" spans="5:18" ht="12.75"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98"/>
    </row>
    <row r="88" spans="5:18" ht="12.75"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98"/>
    </row>
    <row r="89" spans="5:18" ht="12.75"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98"/>
    </row>
    <row r="90" spans="5:18" ht="12.75"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98"/>
    </row>
    <row r="91" spans="5:18" ht="12.75"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98"/>
    </row>
    <row r="92" spans="5:18" ht="12.75"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98"/>
    </row>
    <row r="93" spans="5:18" ht="12.75"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98"/>
    </row>
    <row r="94" spans="5:18" ht="12.75"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98"/>
    </row>
    <row r="95" spans="5:18" ht="12.75"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98"/>
    </row>
    <row r="96" spans="5:18" ht="12.75"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98"/>
    </row>
    <row r="97" spans="5:18" ht="12.75"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98"/>
    </row>
    <row r="98" spans="5:18" ht="12.75"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98"/>
    </row>
    <row r="99" spans="5:18" ht="12.75"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98"/>
    </row>
    <row r="100" ht="12.75">
      <c r="R100" s="98"/>
    </row>
    <row r="101" ht="12.75">
      <c r="R101" s="98"/>
    </row>
    <row r="102" ht="12.75">
      <c r="R102" s="98"/>
    </row>
    <row r="103" ht="12.75">
      <c r="R103" s="98"/>
    </row>
    <row r="104" ht="12.75">
      <c r="R104" s="98"/>
    </row>
    <row r="105" ht="12.75">
      <c r="R105" s="98"/>
    </row>
    <row r="106" ht="12.75">
      <c r="R106" s="98"/>
    </row>
    <row r="107" ht="12.75">
      <c r="R107" s="98"/>
    </row>
    <row r="108" ht="12.75">
      <c r="R108" s="98"/>
    </row>
    <row r="109" ht="12.75">
      <c r="R109" s="98"/>
    </row>
    <row r="110" ht="12.75">
      <c r="R110" s="98"/>
    </row>
    <row r="111" ht="12.75">
      <c r="R111" s="98"/>
    </row>
    <row r="112" ht="12.75">
      <c r="R112" s="98"/>
    </row>
    <row r="113" ht="12.75">
      <c r="R113" s="98"/>
    </row>
    <row r="114" ht="12.75">
      <c r="R114" s="98"/>
    </row>
    <row r="115" ht="12.75">
      <c r="R115" s="98"/>
    </row>
    <row r="116" ht="12.75">
      <c r="R116" s="98"/>
    </row>
    <row r="117" ht="12.75">
      <c r="R117" s="98"/>
    </row>
    <row r="118" ht="12.75">
      <c r="R118" s="98"/>
    </row>
    <row r="119" ht="12.75">
      <c r="R119" s="98"/>
    </row>
    <row r="120" ht="12.75">
      <c r="R120" s="98"/>
    </row>
    <row r="121" ht="12.75">
      <c r="R121" s="98"/>
    </row>
    <row r="122" ht="12.75">
      <c r="R122" s="98"/>
    </row>
    <row r="123" ht="12.75">
      <c r="R123" s="98"/>
    </row>
    <row r="124" ht="12.75">
      <c r="R124" s="98"/>
    </row>
    <row r="125" ht="12.75">
      <c r="R125" s="98"/>
    </row>
    <row r="126" ht="12.75">
      <c r="R126" s="98"/>
    </row>
    <row r="127" ht="12.75">
      <c r="R127" s="98"/>
    </row>
    <row r="128" ht="12.75">
      <c r="R128" s="98"/>
    </row>
    <row r="129" ht="12.75">
      <c r="R129" s="98"/>
    </row>
    <row r="130" ht="12.75">
      <c r="R130" s="98"/>
    </row>
    <row r="131" ht="12.75">
      <c r="R131" s="98"/>
    </row>
    <row r="132" ht="12.75">
      <c r="R132" s="98"/>
    </row>
    <row r="133" ht="12.75">
      <c r="R133" s="98"/>
    </row>
    <row r="134" ht="12.75">
      <c r="R134" s="98"/>
    </row>
    <row r="135" ht="12.75">
      <c r="R135" s="98"/>
    </row>
    <row r="136" ht="12.75">
      <c r="R136" s="98"/>
    </row>
    <row r="137" ht="12.75">
      <c r="R137" s="98"/>
    </row>
    <row r="138" ht="12.75">
      <c r="R138" s="98"/>
    </row>
    <row r="139" ht="12.75">
      <c r="R139" s="98"/>
    </row>
    <row r="140" ht="12.75">
      <c r="R140" s="98"/>
    </row>
    <row r="141" ht="12.75">
      <c r="R141" s="98"/>
    </row>
    <row r="142" ht="12.75">
      <c r="R142" s="98"/>
    </row>
    <row r="143" ht="12.75">
      <c r="R143" s="98"/>
    </row>
    <row r="144" ht="12.75">
      <c r="R144" s="98"/>
    </row>
    <row r="145" ht="12.75">
      <c r="R145" s="98"/>
    </row>
    <row r="146" ht="12.75">
      <c r="R146" s="98"/>
    </row>
    <row r="147" ht="12.75">
      <c r="R147" s="98"/>
    </row>
    <row r="148" ht="12.75">
      <c r="R148" s="98"/>
    </row>
    <row r="149" ht="12.75">
      <c r="R149" s="98"/>
    </row>
    <row r="150" ht="12.75">
      <c r="R150" s="98"/>
    </row>
    <row r="151" ht="12.75">
      <c r="R151" s="98"/>
    </row>
    <row r="152" ht="12.75">
      <c r="R152" s="98"/>
    </row>
    <row r="153" ht="12.75">
      <c r="R153" s="98"/>
    </row>
    <row r="154" ht="12.75">
      <c r="R154" s="98"/>
    </row>
    <row r="155" ht="12.75">
      <c r="R155" s="98"/>
    </row>
    <row r="156" ht="12.75">
      <c r="R156" s="98"/>
    </row>
    <row r="157" ht="12.75">
      <c r="R157" s="98"/>
    </row>
    <row r="158" ht="12.75">
      <c r="R158" s="98"/>
    </row>
    <row r="159" ht="12.75">
      <c r="R159" s="98"/>
    </row>
    <row r="160" ht="12.75">
      <c r="R160" s="98"/>
    </row>
    <row r="161" ht="12.75">
      <c r="R161" s="98"/>
    </row>
    <row r="162" ht="12.75">
      <c r="R162" s="98"/>
    </row>
    <row r="163" ht="12.75">
      <c r="R163" s="98"/>
    </row>
    <row r="164" ht="12.75">
      <c r="R164" s="98"/>
    </row>
    <row r="165" ht="12.75">
      <c r="R165" s="98"/>
    </row>
    <row r="166" ht="12.75">
      <c r="R166" s="98"/>
    </row>
    <row r="167" ht="12.75">
      <c r="R167" s="98"/>
    </row>
    <row r="168" ht="12.75">
      <c r="R168" s="98"/>
    </row>
    <row r="169" ht="12.75">
      <c r="R169" s="98"/>
    </row>
    <row r="170" ht="12.75">
      <c r="R170" s="98"/>
    </row>
    <row r="171" ht="12.75">
      <c r="R171" s="98"/>
    </row>
    <row r="172" ht="12.75">
      <c r="R172" s="98"/>
    </row>
    <row r="173" ht="12.75">
      <c r="R173" s="98"/>
    </row>
    <row r="174" ht="12.75">
      <c r="R174" s="98"/>
    </row>
    <row r="175" ht="12.75">
      <c r="R175" s="98"/>
    </row>
    <row r="176" ht="12.75">
      <c r="R176" s="98"/>
    </row>
    <row r="177" ht="12.75">
      <c r="R177" s="98"/>
    </row>
    <row r="178" ht="12.75">
      <c r="R178" s="98"/>
    </row>
    <row r="179" ht="12.75">
      <c r="R179" s="98"/>
    </row>
    <row r="180" ht="12.75">
      <c r="R180" s="98"/>
    </row>
    <row r="181" ht="12.75">
      <c r="R181" s="98"/>
    </row>
    <row r="182" ht="12.75">
      <c r="R182" s="98"/>
    </row>
    <row r="183" ht="12.75">
      <c r="R183" s="98"/>
    </row>
    <row r="184" ht="12.75">
      <c r="R184" s="98"/>
    </row>
    <row r="185" ht="12.75">
      <c r="R185" s="98"/>
    </row>
    <row r="186" ht="12.75">
      <c r="R186" s="98"/>
    </row>
    <row r="187" ht="12.75">
      <c r="R187" s="98"/>
    </row>
    <row r="188" ht="12.75">
      <c r="R188" s="98"/>
    </row>
    <row r="189" ht="12.75">
      <c r="R189" s="98"/>
    </row>
    <row r="190" ht="12.75">
      <c r="R190" s="98"/>
    </row>
    <row r="191" ht="12.75">
      <c r="R191" s="98"/>
    </row>
    <row r="192" ht="12.75">
      <c r="R192" s="98"/>
    </row>
    <row r="193" ht="12.75">
      <c r="R193" s="98"/>
    </row>
    <row r="194" ht="12.75">
      <c r="R194" s="98"/>
    </row>
    <row r="195" ht="12.75">
      <c r="R195" s="98"/>
    </row>
    <row r="196" ht="12.75">
      <c r="R196" s="98"/>
    </row>
    <row r="197" ht="12.75">
      <c r="R197" s="98"/>
    </row>
    <row r="198" ht="12.75">
      <c r="R198" s="98"/>
    </row>
    <row r="199" ht="12.75">
      <c r="R199" s="98"/>
    </row>
    <row r="200" ht="12.75">
      <c r="R200" s="98"/>
    </row>
    <row r="201" ht="12.75">
      <c r="R201" s="98"/>
    </row>
    <row r="202" ht="12.75">
      <c r="R202" s="98"/>
    </row>
    <row r="203" ht="12.75">
      <c r="R203" s="98"/>
    </row>
    <row r="204" ht="12.75">
      <c r="R204" s="98"/>
    </row>
    <row r="205" ht="12.75">
      <c r="R205" s="98"/>
    </row>
    <row r="206" ht="12.75">
      <c r="R206" s="98"/>
    </row>
    <row r="207" ht="12.75">
      <c r="R207" s="98"/>
    </row>
    <row r="208" ht="12.75">
      <c r="R208" s="98"/>
    </row>
    <row r="209" ht="12.75">
      <c r="R209" s="98"/>
    </row>
    <row r="210" ht="12.75">
      <c r="R210" s="98"/>
    </row>
    <row r="211" ht="12.75">
      <c r="R211" s="98"/>
    </row>
    <row r="212" ht="12.75">
      <c r="R212" s="98"/>
    </row>
    <row r="213" ht="12.75">
      <c r="R213" s="98"/>
    </row>
    <row r="214" ht="12.75">
      <c r="R214" s="98"/>
    </row>
    <row r="215" ht="12.75">
      <c r="R215" s="98"/>
    </row>
    <row r="216" ht="12.75">
      <c r="R216" s="98"/>
    </row>
    <row r="217" ht="12.75">
      <c r="R217" s="98"/>
    </row>
    <row r="218" ht="12.75">
      <c r="R218" s="98"/>
    </row>
    <row r="219" ht="12.75">
      <c r="R219" s="98"/>
    </row>
    <row r="220" ht="12.75">
      <c r="R220" s="98"/>
    </row>
    <row r="221" ht="12.75">
      <c r="R221" s="98"/>
    </row>
    <row r="222" ht="12.75">
      <c r="R222" s="98"/>
    </row>
    <row r="223" ht="12.75">
      <c r="R223" s="98"/>
    </row>
    <row r="224" ht="12.75">
      <c r="R224" s="98"/>
    </row>
    <row r="225" ht="12.75">
      <c r="R225" s="98"/>
    </row>
    <row r="226" ht="12.75">
      <c r="R226" s="98"/>
    </row>
    <row r="227" ht="12.75">
      <c r="R227" s="98"/>
    </row>
    <row r="228" ht="12.75">
      <c r="R228" s="98"/>
    </row>
    <row r="229" ht="12.75">
      <c r="R229" s="98"/>
    </row>
    <row r="230" ht="12.75">
      <c r="R230" s="98"/>
    </row>
    <row r="231" ht="12.75">
      <c r="R231" s="98"/>
    </row>
    <row r="232" ht="12.75">
      <c r="R232" s="98"/>
    </row>
    <row r="233" ht="12.75">
      <c r="R233" s="98"/>
    </row>
    <row r="234" ht="12.75">
      <c r="R234" s="98"/>
    </row>
  </sheetData>
  <sheetProtection/>
  <mergeCells count="1">
    <mergeCell ref="R3:R4"/>
  </mergeCells>
  <printOptions/>
  <pageMargins left="0.3937007874015748" right="0.1968503937007874" top="0.5511811023622047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zoomScalePageLayoutView="0" workbookViewId="0" topLeftCell="A8">
      <selection activeCell="K45" sqref="K45"/>
    </sheetView>
  </sheetViews>
  <sheetFormatPr defaultColWidth="12.57421875" defaultRowHeight="12" customHeight="1"/>
  <cols>
    <col min="1" max="1" width="9.57421875" style="29" customWidth="1"/>
    <col min="2" max="2" width="10.00390625" style="23" customWidth="1"/>
    <col min="3" max="6" width="9.7109375" style="23" customWidth="1"/>
    <col min="7" max="7" width="10.140625" style="23" customWidth="1"/>
    <col min="8" max="8" width="9.7109375" style="23" customWidth="1"/>
    <col min="9" max="9" width="9.7109375" style="24" customWidth="1"/>
    <col min="10" max="11" width="9.7109375" style="23" hidden="1" customWidth="1"/>
    <col min="12" max="16384" width="12.57421875" style="25" customWidth="1"/>
  </cols>
  <sheetData>
    <row r="1" spans="1:11" s="5" customFormat="1" ht="15">
      <c r="A1" s="1" t="s">
        <v>233</v>
      </c>
      <c r="B1" s="2"/>
      <c r="C1" s="3"/>
      <c r="D1" s="3"/>
      <c r="E1" s="3"/>
      <c r="F1" s="3"/>
      <c r="G1" s="3"/>
      <c r="H1" s="3"/>
      <c r="I1" s="4"/>
      <c r="J1" s="3"/>
      <c r="K1" s="3"/>
    </row>
    <row r="2" spans="2:11" s="6" customFormat="1" ht="12">
      <c r="B2" s="7"/>
      <c r="C2" s="8"/>
      <c r="D2" s="8"/>
      <c r="E2" s="8"/>
      <c r="F2" s="8"/>
      <c r="G2" s="8"/>
      <c r="H2" s="8"/>
      <c r="I2" s="9"/>
      <c r="J2" s="8"/>
      <c r="K2" s="8"/>
    </row>
    <row r="3" spans="1:11" s="6" customFormat="1" ht="12.75" customHeight="1">
      <c r="A3" s="10" t="s">
        <v>0</v>
      </c>
      <c r="B3" s="11"/>
      <c r="C3" s="12"/>
      <c r="D3" s="12"/>
      <c r="E3" s="12"/>
      <c r="F3" s="12"/>
      <c r="G3" s="12"/>
      <c r="H3" s="12"/>
      <c r="I3" s="13"/>
      <c r="J3" s="12"/>
      <c r="K3" s="12"/>
    </row>
    <row r="4" spans="1:11" s="6" customFormat="1" ht="12" customHeight="1">
      <c r="A4" s="181"/>
      <c r="B4" s="182"/>
      <c r="C4" s="183"/>
      <c r="D4" s="183"/>
      <c r="E4" s="183"/>
      <c r="F4" s="183"/>
      <c r="G4" s="183" t="s">
        <v>1</v>
      </c>
      <c r="H4" s="183" t="s">
        <v>1</v>
      </c>
      <c r="I4" s="183" t="s">
        <v>87</v>
      </c>
      <c r="J4" s="56" t="s">
        <v>40</v>
      </c>
      <c r="K4" s="56" t="s">
        <v>41</v>
      </c>
    </row>
    <row r="5" spans="1:11" s="6" customFormat="1" ht="12" customHeight="1">
      <c r="A5" s="184"/>
      <c r="B5" s="185" t="s">
        <v>2</v>
      </c>
      <c r="C5" s="186" t="s">
        <v>3</v>
      </c>
      <c r="D5" s="187" t="s">
        <v>4</v>
      </c>
      <c r="E5" s="187" t="s">
        <v>74</v>
      </c>
      <c r="F5" s="187" t="s">
        <v>105</v>
      </c>
      <c r="G5" s="187" t="s">
        <v>5</v>
      </c>
      <c r="H5" s="187" t="s">
        <v>6</v>
      </c>
      <c r="I5" s="187" t="s">
        <v>6</v>
      </c>
      <c r="J5" s="39" t="s">
        <v>39</v>
      </c>
      <c r="K5" s="39" t="s">
        <v>39</v>
      </c>
    </row>
    <row r="6" spans="1:11" s="6" customFormat="1" ht="12">
      <c r="A6" s="63"/>
      <c r="B6" s="31"/>
      <c r="C6" s="67"/>
      <c r="D6" s="43"/>
      <c r="E6" s="43"/>
      <c r="F6" s="43"/>
      <c r="G6" s="43"/>
      <c r="H6" s="43"/>
      <c r="I6" s="43"/>
      <c r="J6" s="43"/>
      <c r="K6" s="43"/>
    </row>
    <row r="7" spans="1:11" ht="12" hidden="1">
      <c r="A7" s="64">
        <v>1986</v>
      </c>
      <c r="B7" s="42">
        <v>74506</v>
      </c>
      <c r="C7" s="42">
        <v>5282</v>
      </c>
      <c r="D7" s="42">
        <v>2226</v>
      </c>
      <c r="E7" s="42"/>
      <c r="F7" s="42"/>
      <c r="G7" s="62">
        <f aca="true" t="shared" si="0" ref="G7:G20">SUM(B7:D7)</f>
        <v>82014</v>
      </c>
      <c r="H7" s="62"/>
      <c r="I7" s="62"/>
      <c r="J7" s="62"/>
      <c r="K7" s="62"/>
    </row>
    <row r="8" spans="1:11" ht="12">
      <c r="A8" s="64">
        <v>1987</v>
      </c>
      <c r="B8" s="42">
        <v>77016</v>
      </c>
      <c r="C8" s="42">
        <v>5252</v>
      </c>
      <c r="D8" s="42">
        <v>2696</v>
      </c>
      <c r="E8" s="42"/>
      <c r="F8" s="42"/>
      <c r="G8" s="43">
        <f t="shared" si="0"/>
        <v>84964</v>
      </c>
      <c r="H8" s="62">
        <v>564820</v>
      </c>
      <c r="I8" s="66">
        <f aca="true" t="shared" si="1" ref="I8:I38">G8/H8</f>
        <v>0.15042668460748557</v>
      </c>
      <c r="J8" s="62"/>
      <c r="K8" s="62"/>
    </row>
    <row r="9" spans="1:11" ht="12">
      <c r="A9" s="190">
        <v>1988</v>
      </c>
      <c r="B9" s="191">
        <v>96263</v>
      </c>
      <c r="C9" s="191">
        <v>5285</v>
      </c>
      <c r="D9" s="191">
        <v>2701</v>
      </c>
      <c r="E9" s="191"/>
      <c r="F9" s="191"/>
      <c r="G9" s="192">
        <f t="shared" si="0"/>
        <v>104249</v>
      </c>
      <c r="H9" s="193">
        <v>638201</v>
      </c>
      <c r="I9" s="194">
        <f t="shared" si="1"/>
        <v>0.16334822414881833</v>
      </c>
      <c r="J9" s="66">
        <f aca="true" t="shared" si="2" ref="J9:J25">(G9-G8)/G8</f>
        <v>0.22697848500541407</v>
      </c>
      <c r="K9" s="66">
        <f aca="true" t="shared" si="3" ref="K9:K25">(H9-H8)/H8</f>
        <v>0.1299192663149322</v>
      </c>
    </row>
    <row r="10" spans="1:11" ht="12">
      <c r="A10" s="64">
        <v>1989</v>
      </c>
      <c r="B10" s="42">
        <v>106129</v>
      </c>
      <c r="C10" s="42">
        <v>4302</v>
      </c>
      <c r="D10" s="42">
        <v>2336</v>
      </c>
      <c r="E10" s="42"/>
      <c r="F10" s="42"/>
      <c r="G10" s="43">
        <f t="shared" si="0"/>
        <v>112767</v>
      </c>
      <c r="H10" s="62">
        <v>699960</v>
      </c>
      <c r="I10" s="66">
        <f t="shared" si="1"/>
        <v>0.16110492028115891</v>
      </c>
      <c r="J10" s="66">
        <f t="shared" si="2"/>
        <v>0.0817082178246314</v>
      </c>
      <c r="K10" s="66">
        <f t="shared" si="3"/>
        <v>0.09677045319578001</v>
      </c>
    </row>
    <row r="11" spans="1:11" ht="12">
      <c r="A11" s="190">
        <v>1990</v>
      </c>
      <c r="B11" s="191">
        <v>117731</v>
      </c>
      <c r="C11" s="191">
        <v>3353</v>
      </c>
      <c r="D11" s="191">
        <v>1025</v>
      </c>
      <c r="E11" s="191"/>
      <c r="F11" s="191"/>
      <c r="G11" s="192">
        <f t="shared" si="0"/>
        <v>122109</v>
      </c>
      <c r="H11" s="193">
        <v>733506</v>
      </c>
      <c r="I11" s="194">
        <f t="shared" si="1"/>
        <v>0.16647307588485985</v>
      </c>
      <c r="J11" s="66">
        <f t="shared" si="2"/>
        <v>0.08284338503285536</v>
      </c>
      <c r="K11" s="66">
        <f t="shared" si="3"/>
        <v>0.04792559574832848</v>
      </c>
    </row>
    <row r="12" spans="1:11" ht="12">
      <c r="A12" s="64">
        <v>1991</v>
      </c>
      <c r="B12" s="42">
        <v>123049</v>
      </c>
      <c r="C12" s="42">
        <v>2364</v>
      </c>
      <c r="D12" s="42">
        <v>975</v>
      </c>
      <c r="E12" s="42"/>
      <c r="F12" s="42"/>
      <c r="G12" s="43">
        <f t="shared" si="0"/>
        <v>126388</v>
      </c>
      <c r="H12" s="62">
        <v>799958</v>
      </c>
      <c r="I12" s="66">
        <f t="shared" si="1"/>
        <v>0.15799329464796902</v>
      </c>
      <c r="J12" s="66">
        <f t="shared" si="2"/>
        <v>0.03504246206258343</v>
      </c>
      <c r="K12" s="66">
        <f t="shared" si="3"/>
        <v>0.09059503262413668</v>
      </c>
    </row>
    <row r="13" spans="1:11" ht="12">
      <c r="A13" s="190">
        <v>1992</v>
      </c>
      <c r="B13" s="191">
        <v>136081</v>
      </c>
      <c r="C13" s="191">
        <v>2348</v>
      </c>
      <c r="D13" s="191">
        <v>966</v>
      </c>
      <c r="E13" s="191"/>
      <c r="F13" s="191"/>
      <c r="G13" s="192">
        <f t="shared" si="0"/>
        <v>139395</v>
      </c>
      <c r="H13" s="193">
        <v>878262</v>
      </c>
      <c r="I13" s="194">
        <f t="shared" si="1"/>
        <v>0.15871687491887387</v>
      </c>
      <c r="J13" s="66">
        <f t="shared" si="2"/>
        <v>0.10291325125803083</v>
      </c>
      <c r="K13" s="66">
        <f t="shared" si="3"/>
        <v>0.09788513896979592</v>
      </c>
    </row>
    <row r="14" spans="1:11" ht="12">
      <c r="A14" s="64">
        <v>1993</v>
      </c>
      <c r="B14" s="42">
        <v>133542</v>
      </c>
      <c r="C14" s="42">
        <v>2150</v>
      </c>
      <c r="D14" s="42">
        <v>794</v>
      </c>
      <c r="E14" s="42"/>
      <c r="F14" s="42"/>
      <c r="G14" s="43">
        <f t="shared" si="0"/>
        <v>136486</v>
      </c>
      <c r="H14" s="62">
        <v>860499</v>
      </c>
      <c r="I14" s="66">
        <f t="shared" si="1"/>
        <v>0.15861261895714</v>
      </c>
      <c r="J14" s="66">
        <f t="shared" si="2"/>
        <v>-0.02086875425947846</v>
      </c>
      <c r="K14" s="66">
        <f t="shared" si="3"/>
        <v>-0.020225171987402393</v>
      </c>
    </row>
    <row r="15" spans="1:11" ht="12">
      <c r="A15" s="190">
        <v>1994</v>
      </c>
      <c r="B15" s="191">
        <v>142058</v>
      </c>
      <c r="C15" s="191">
        <v>2700</v>
      </c>
      <c r="D15" s="191">
        <v>1920</v>
      </c>
      <c r="E15" s="191"/>
      <c r="F15" s="191"/>
      <c r="G15" s="192">
        <f t="shared" si="0"/>
        <v>146678</v>
      </c>
      <c r="H15" s="193">
        <v>928227</v>
      </c>
      <c r="I15" s="194">
        <f t="shared" si="1"/>
        <v>0.15801953616949302</v>
      </c>
      <c r="J15" s="66">
        <f t="shared" si="2"/>
        <v>0.07467432557185352</v>
      </c>
      <c r="K15" s="66">
        <f t="shared" si="3"/>
        <v>0.07870781953262003</v>
      </c>
    </row>
    <row r="16" spans="1:11" ht="12">
      <c r="A16" s="64">
        <v>1995</v>
      </c>
      <c r="B16" s="42">
        <v>152020</v>
      </c>
      <c r="C16" s="42">
        <v>3613</v>
      </c>
      <c r="D16" s="42">
        <v>4143</v>
      </c>
      <c r="E16" s="42"/>
      <c r="F16" s="42"/>
      <c r="G16" s="43">
        <f t="shared" si="0"/>
        <v>159776</v>
      </c>
      <c r="H16" s="62">
        <v>1003132</v>
      </c>
      <c r="I16" s="66">
        <f t="shared" si="1"/>
        <v>0.15927714398503887</v>
      </c>
      <c r="J16" s="66">
        <f t="shared" si="2"/>
        <v>0.08929764518196322</v>
      </c>
      <c r="K16" s="66">
        <f t="shared" si="3"/>
        <v>0.08069685540282712</v>
      </c>
    </row>
    <row r="17" spans="1:11" ht="12">
      <c r="A17" s="190">
        <v>1996</v>
      </c>
      <c r="B17" s="191">
        <v>176758</v>
      </c>
      <c r="C17" s="191">
        <v>3064</v>
      </c>
      <c r="D17" s="191">
        <v>3894</v>
      </c>
      <c r="E17" s="191"/>
      <c r="F17" s="191"/>
      <c r="G17" s="192">
        <f t="shared" si="0"/>
        <v>183716</v>
      </c>
      <c r="H17" s="193">
        <v>1090752</v>
      </c>
      <c r="I17" s="194">
        <f t="shared" si="1"/>
        <v>0.16843058733791</v>
      </c>
      <c r="J17" s="66">
        <f t="shared" si="2"/>
        <v>0.14983476867614662</v>
      </c>
      <c r="K17" s="66">
        <f t="shared" si="3"/>
        <v>0.08734643097817635</v>
      </c>
    </row>
    <row r="18" spans="1:11" ht="12">
      <c r="A18" s="48">
        <v>1997</v>
      </c>
      <c r="B18" s="42">
        <v>206929</v>
      </c>
      <c r="C18" s="42">
        <v>3849</v>
      </c>
      <c r="D18" s="42">
        <v>4118</v>
      </c>
      <c r="E18" s="42"/>
      <c r="F18" s="42"/>
      <c r="G18" s="43">
        <f t="shared" si="0"/>
        <v>214896</v>
      </c>
      <c r="H18" s="62">
        <v>1200772</v>
      </c>
      <c r="I18" s="66">
        <f t="shared" si="1"/>
        <v>0.1789648659362477</v>
      </c>
      <c r="J18" s="66">
        <f t="shared" si="2"/>
        <v>0.16971847852119576</v>
      </c>
      <c r="K18" s="66">
        <f t="shared" si="3"/>
        <v>0.10086619139822801</v>
      </c>
    </row>
    <row r="19" spans="1:11" ht="12">
      <c r="A19" s="190">
        <v>1998</v>
      </c>
      <c r="B19" s="191">
        <v>212358</v>
      </c>
      <c r="C19" s="191">
        <v>4934</v>
      </c>
      <c r="D19" s="191">
        <v>4179</v>
      </c>
      <c r="E19" s="191"/>
      <c r="F19" s="191"/>
      <c r="G19" s="192">
        <f t="shared" si="0"/>
        <v>221471</v>
      </c>
      <c r="H19" s="193">
        <v>1253714</v>
      </c>
      <c r="I19" s="194">
        <f t="shared" si="1"/>
        <v>0.1766519317802944</v>
      </c>
      <c r="J19" s="66">
        <f t="shared" si="2"/>
        <v>0.030596195368922642</v>
      </c>
      <c r="K19" s="66">
        <f t="shared" si="3"/>
        <v>0.044089968786747195</v>
      </c>
    </row>
    <row r="20" spans="1:11" ht="12">
      <c r="A20" s="64">
        <v>1999</v>
      </c>
      <c r="B20" s="42">
        <v>228638</v>
      </c>
      <c r="C20" s="42">
        <v>4896</v>
      </c>
      <c r="D20" s="42">
        <v>4439</v>
      </c>
      <c r="E20" s="42"/>
      <c r="F20" s="42"/>
      <c r="G20" s="43">
        <f t="shared" si="0"/>
        <v>237973</v>
      </c>
      <c r="H20" s="62">
        <v>1376782</v>
      </c>
      <c r="I20" s="66">
        <f t="shared" si="1"/>
        <v>0.17284726267484612</v>
      </c>
      <c r="J20" s="66">
        <f t="shared" si="2"/>
        <v>0.07451088404350908</v>
      </c>
      <c r="K20" s="66">
        <f t="shared" si="3"/>
        <v>0.09816273887026866</v>
      </c>
    </row>
    <row r="21" spans="1:11" ht="12">
      <c r="A21" s="190">
        <v>2000</v>
      </c>
      <c r="B21" s="191">
        <v>252196</v>
      </c>
      <c r="C21" s="191">
        <v>5581</v>
      </c>
      <c r="D21" s="191">
        <v>4944</v>
      </c>
      <c r="E21" s="191">
        <v>55929</v>
      </c>
      <c r="F21" s="191"/>
      <c r="G21" s="192">
        <f>SUM(B21:E21)</f>
        <v>318650</v>
      </c>
      <c r="H21" s="193">
        <v>1497107</v>
      </c>
      <c r="I21" s="194">
        <f t="shared" si="1"/>
        <v>0.21284383814917704</v>
      </c>
      <c r="J21" s="66">
        <f t="shared" si="2"/>
        <v>0.3390174515596307</v>
      </c>
      <c r="K21" s="66">
        <f t="shared" si="3"/>
        <v>0.08739582591870028</v>
      </c>
    </row>
    <row r="22" spans="1:11" ht="12">
      <c r="A22" s="64">
        <v>2001</v>
      </c>
      <c r="B22" s="42">
        <v>268136</v>
      </c>
      <c r="C22" s="42">
        <v>5291</v>
      </c>
      <c r="D22" s="42">
        <v>5075</v>
      </c>
      <c r="E22" s="42">
        <v>62963</v>
      </c>
      <c r="F22" s="42"/>
      <c r="G22" s="43">
        <f aca="true" t="shared" si="4" ref="G22:G37">SUM(B22:E22)</f>
        <v>341465</v>
      </c>
      <c r="H22" s="62">
        <v>1529490</v>
      </c>
      <c r="I22" s="66">
        <f t="shared" si="1"/>
        <v>0.22325415661429626</v>
      </c>
      <c r="J22" s="66">
        <f t="shared" si="2"/>
        <v>0.07159893299858779</v>
      </c>
      <c r="K22" s="66">
        <f t="shared" si="3"/>
        <v>0.021630384468177624</v>
      </c>
    </row>
    <row r="23" spans="1:11" ht="12">
      <c r="A23" s="190">
        <v>2002</v>
      </c>
      <c r="B23" s="191">
        <v>265463</v>
      </c>
      <c r="C23" s="191">
        <v>5333</v>
      </c>
      <c r="D23" s="191">
        <v>5229</v>
      </c>
      <c r="E23" s="191">
        <v>59591</v>
      </c>
      <c r="F23" s="191"/>
      <c r="G23" s="192">
        <f t="shared" si="4"/>
        <v>335616</v>
      </c>
      <c r="H23" s="193">
        <v>1495355</v>
      </c>
      <c r="I23" s="194">
        <f t="shared" si="1"/>
        <v>0.22443901280966727</v>
      </c>
      <c r="J23" s="66">
        <f t="shared" si="2"/>
        <v>-0.017129134757588624</v>
      </c>
      <c r="K23" s="66">
        <f t="shared" si="3"/>
        <v>-0.022317896815278297</v>
      </c>
    </row>
    <row r="24" spans="1:11" ht="12">
      <c r="A24" s="64">
        <v>2003</v>
      </c>
      <c r="B24" s="42">
        <v>276214</v>
      </c>
      <c r="C24" s="42">
        <v>10391</v>
      </c>
      <c r="D24" s="42">
        <v>5899</v>
      </c>
      <c r="E24" s="42">
        <v>51901</v>
      </c>
      <c r="F24" s="42"/>
      <c r="G24" s="43">
        <f t="shared" si="4"/>
        <v>344405</v>
      </c>
      <c r="H24" s="62">
        <v>1592335</v>
      </c>
      <c r="I24" s="66">
        <f t="shared" si="1"/>
        <v>0.21628928586007343</v>
      </c>
      <c r="J24" s="66">
        <f t="shared" si="2"/>
        <v>0.026187666857360792</v>
      </c>
      <c r="K24" s="66">
        <f t="shared" si="3"/>
        <v>0.06485416506448302</v>
      </c>
    </row>
    <row r="25" spans="1:11" ht="12">
      <c r="A25" s="190">
        <v>2004</v>
      </c>
      <c r="B25" s="191">
        <v>284243</v>
      </c>
      <c r="C25" s="191">
        <v>20207</v>
      </c>
      <c r="D25" s="191">
        <v>7575</v>
      </c>
      <c r="E25" s="191">
        <v>42802</v>
      </c>
      <c r="F25" s="191"/>
      <c r="G25" s="192">
        <f t="shared" si="4"/>
        <v>354827</v>
      </c>
      <c r="H25" s="193">
        <v>1717161</v>
      </c>
      <c r="I25" s="194">
        <f t="shared" si="1"/>
        <v>0.20663583670954558</v>
      </c>
      <c r="J25" s="66">
        <f t="shared" si="2"/>
        <v>0.030260884714217274</v>
      </c>
      <c r="K25" s="66">
        <f t="shared" si="3"/>
        <v>0.07839179569625739</v>
      </c>
    </row>
    <row r="26" spans="1:11" ht="12">
      <c r="A26" s="64">
        <v>2005</v>
      </c>
      <c r="B26" s="42">
        <v>300254</v>
      </c>
      <c r="C26" s="42">
        <v>23682</v>
      </c>
      <c r="D26" s="42">
        <v>9570</v>
      </c>
      <c r="E26" s="42">
        <v>43814</v>
      </c>
      <c r="F26" s="42"/>
      <c r="G26" s="43">
        <f t="shared" si="4"/>
        <v>377320</v>
      </c>
      <c r="H26" s="62">
        <v>1845575</v>
      </c>
      <c r="I26" s="66">
        <f t="shared" si="1"/>
        <v>0.20444576893380112</v>
      </c>
      <c r="J26" s="66">
        <f aca="true" t="shared" si="5" ref="J26:K28">(G26-G25)/G25</f>
        <v>0.06339145555439693</v>
      </c>
      <c r="K26" s="66">
        <f t="shared" si="5"/>
        <v>0.07478273732049587</v>
      </c>
    </row>
    <row r="27" spans="1:11" ht="12">
      <c r="A27" s="190">
        <v>2006</v>
      </c>
      <c r="B27" s="191">
        <v>327650</v>
      </c>
      <c r="C27" s="191">
        <v>33439</v>
      </c>
      <c r="D27" s="191">
        <v>24896</v>
      </c>
      <c r="E27" s="191">
        <v>48695</v>
      </c>
      <c r="F27" s="191"/>
      <c r="G27" s="192">
        <f t="shared" si="4"/>
        <v>434680</v>
      </c>
      <c r="H27" s="193">
        <v>2318525</v>
      </c>
      <c r="I27" s="194">
        <f t="shared" si="1"/>
        <v>0.18748126502841245</v>
      </c>
      <c r="J27" s="66">
        <f t="shared" si="5"/>
        <v>0.15201950598961095</v>
      </c>
      <c r="K27" s="66">
        <f t="shared" si="5"/>
        <v>0.25626159868875553</v>
      </c>
    </row>
    <row r="28" spans="1:11" ht="12">
      <c r="A28" s="64">
        <v>2007</v>
      </c>
      <c r="B28" s="42">
        <v>352501</v>
      </c>
      <c r="C28" s="42">
        <v>45289</v>
      </c>
      <c r="D28" s="42">
        <v>25701</v>
      </c>
      <c r="E28" s="42">
        <v>61195</v>
      </c>
      <c r="F28" s="42"/>
      <c r="G28" s="43">
        <f t="shared" si="4"/>
        <v>484686</v>
      </c>
      <c r="H28" s="62">
        <v>2501537</v>
      </c>
      <c r="I28" s="66">
        <f t="shared" si="1"/>
        <v>0.19375527925431446</v>
      </c>
      <c r="J28" s="66">
        <f t="shared" si="5"/>
        <v>0.11504094966412073</v>
      </c>
      <c r="K28" s="66">
        <f t="shared" si="5"/>
        <v>0.0789346675149071</v>
      </c>
    </row>
    <row r="29" spans="1:11" ht="12">
      <c r="A29" s="190">
        <v>2008</v>
      </c>
      <c r="B29" s="191">
        <v>321693</v>
      </c>
      <c r="C29" s="191">
        <v>49927</v>
      </c>
      <c r="D29" s="191">
        <v>26676</v>
      </c>
      <c r="E29" s="191">
        <v>49642</v>
      </c>
      <c r="F29" s="191"/>
      <c r="G29" s="192">
        <f t="shared" si="4"/>
        <v>447938</v>
      </c>
      <c r="H29" s="193">
        <v>2420072</v>
      </c>
      <c r="I29" s="194">
        <f t="shared" si="1"/>
        <v>0.18509284021301844</v>
      </c>
      <c r="J29" s="66">
        <f aca="true" t="shared" si="6" ref="J29:K31">(G29-G28)/G28</f>
        <v>-0.07581815856038755</v>
      </c>
      <c r="K29" s="66">
        <f t="shared" si="6"/>
        <v>-0.03256597843645727</v>
      </c>
    </row>
    <row r="30" spans="1:11" ht="12">
      <c r="A30" s="64">
        <v>2009</v>
      </c>
      <c r="B30" s="42">
        <v>278965</v>
      </c>
      <c r="C30" s="42">
        <v>48128</v>
      </c>
      <c r="D30" s="42">
        <v>30948</v>
      </c>
      <c r="E30" s="42">
        <v>43399</v>
      </c>
      <c r="F30" s="42"/>
      <c r="G30" s="43">
        <f t="shared" si="4"/>
        <v>401440</v>
      </c>
      <c r="H30" s="62">
        <v>2167605</v>
      </c>
      <c r="I30" s="66">
        <f t="shared" si="1"/>
        <v>0.18519979424295477</v>
      </c>
      <c r="J30" s="66">
        <f t="shared" si="6"/>
        <v>-0.10380454437890958</v>
      </c>
      <c r="K30" s="66">
        <f t="shared" si="6"/>
        <v>-0.10432210281347001</v>
      </c>
    </row>
    <row r="31" spans="1:11" ht="12">
      <c r="A31" s="190">
        <v>2010</v>
      </c>
      <c r="B31" s="191">
        <v>277832</v>
      </c>
      <c r="C31" s="191">
        <v>43290</v>
      </c>
      <c r="D31" s="191">
        <v>26522</v>
      </c>
      <c r="E31" s="191">
        <v>37661</v>
      </c>
      <c r="F31" s="191"/>
      <c r="G31" s="192">
        <f t="shared" si="4"/>
        <v>385305</v>
      </c>
      <c r="H31" s="193">
        <v>2116512</v>
      </c>
      <c r="I31" s="194">
        <f t="shared" si="1"/>
        <v>0.18204716061142107</v>
      </c>
      <c r="J31" s="66">
        <f t="shared" si="6"/>
        <v>-0.04019280589876445</v>
      </c>
      <c r="K31" s="66">
        <f t="shared" si="6"/>
        <v>-0.023571176482800143</v>
      </c>
    </row>
    <row r="32" spans="1:11" ht="12">
      <c r="A32" s="64">
        <v>2011</v>
      </c>
      <c r="B32" s="42">
        <v>303054</v>
      </c>
      <c r="C32" s="42">
        <v>27799</v>
      </c>
      <c r="D32" s="42">
        <v>21494</v>
      </c>
      <c r="E32" s="42">
        <v>33395</v>
      </c>
      <c r="F32" s="42"/>
      <c r="G32" s="43">
        <f t="shared" si="4"/>
        <v>385742</v>
      </c>
      <c r="H32" s="62">
        <v>2140308</v>
      </c>
      <c r="I32" s="66">
        <f t="shared" si="1"/>
        <v>0.1802273317672036</v>
      </c>
      <c r="J32" s="66"/>
      <c r="K32" s="66"/>
    </row>
    <row r="33" spans="1:11" ht="12">
      <c r="A33" s="190">
        <v>2012</v>
      </c>
      <c r="B33" s="191">
        <v>290004</v>
      </c>
      <c r="C33" s="191">
        <v>27674</v>
      </c>
      <c r="D33" s="191">
        <v>16111</v>
      </c>
      <c r="E33" s="191">
        <v>29042</v>
      </c>
      <c r="F33" s="191"/>
      <c r="G33" s="192">
        <f t="shared" si="4"/>
        <v>362831</v>
      </c>
      <c r="H33" s="193">
        <v>1924668</v>
      </c>
      <c r="I33" s="194">
        <f t="shared" si="1"/>
        <v>0.18851614927873275</v>
      </c>
      <c r="J33" s="66"/>
      <c r="K33" s="66"/>
    </row>
    <row r="34" spans="1:11" ht="12">
      <c r="A34" s="64">
        <v>2013</v>
      </c>
      <c r="B34" s="42">
        <v>276496</v>
      </c>
      <c r="C34" s="42">
        <v>27050</v>
      </c>
      <c r="D34" s="42">
        <v>16977</v>
      </c>
      <c r="E34" s="42">
        <v>27734</v>
      </c>
      <c r="F34" s="42"/>
      <c r="G34" s="43">
        <f t="shared" si="4"/>
        <v>348257</v>
      </c>
      <c r="H34" s="62">
        <v>1790861</v>
      </c>
      <c r="I34" s="66">
        <f t="shared" si="1"/>
        <v>0.19446344523667666</v>
      </c>
      <c r="J34" s="66"/>
      <c r="K34" s="66"/>
    </row>
    <row r="35" spans="1:11" ht="12">
      <c r="A35" s="190">
        <v>2014</v>
      </c>
      <c r="B35" s="191">
        <v>283850</v>
      </c>
      <c r="C35" s="191">
        <v>20629</v>
      </c>
      <c r="D35" s="191">
        <v>15986</v>
      </c>
      <c r="E35" s="191">
        <v>27060</v>
      </c>
      <c r="F35" s="191"/>
      <c r="G35" s="192">
        <f t="shared" si="4"/>
        <v>347525</v>
      </c>
      <c r="H35" s="193">
        <v>1832711</v>
      </c>
      <c r="I35" s="194">
        <f t="shared" si="1"/>
        <v>0.1896234594543275</v>
      </c>
      <c r="J35" s="66"/>
      <c r="K35" s="66"/>
    </row>
    <row r="36" spans="1:11" ht="12">
      <c r="A36" s="64">
        <v>2015</v>
      </c>
      <c r="B36" s="42">
        <v>288879</v>
      </c>
      <c r="C36" s="42">
        <v>19529</v>
      </c>
      <c r="D36" s="42">
        <v>13533</v>
      </c>
      <c r="E36" s="42">
        <v>29975</v>
      </c>
      <c r="F36" s="42"/>
      <c r="G36" s="43">
        <f t="shared" si="4"/>
        <v>351916</v>
      </c>
      <c r="H36" s="62">
        <v>1902967</v>
      </c>
      <c r="I36" s="66">
        <f t="shared" si="1"/>
        <v>0.1849301643170901</v>
      </c>
      <c r="J36" s="66"/>
      <c r="K36" s="66"/>
    </row>
    <row r="37" spans="1:11" ht="12">
      <c r="A37" s="190">
        <v>2016</v>
      </c>
      <c r="B37" s="191">
        <v>307864</v>
      </c>
      <c r="C37" s="191">
        <v>18815</v>
      </c>
      <c r="D37" s="191">
        <v>14472</v>
      </c>
      <c r="E37" s="191">
        <v>36002</v>
      </c>
      <c r="F37" s="191"/>
      <c r="G37" s="192">
        <f t="shared" si="4"/>
        <v>377153</v>
      </c>
      <c r="H37" s="193">
        <v>2045034</v>
      </c>
      <c r="I37" s="194">
        <f t="shared" si="1"/>
        <v>0.18442382865028162</v>
      </c>
      <c r="J37" s="66"/>
      <c r="K37" s="66"/>
    </row>
    <row r="38" spans="1:11" ht="12">
      <c r="A38" s="269">
        <v>2017</v>
      </c>
      <c r="B38" s="145">
        <v>323539</v>
      </c>
      <c r="C38" s="145">
        <v>19252</v>
      </c>
      <c r="D38" s="145">
        <v>16023</v>
      </c>
      <c r="E38" s="145">
        <v>41260</v>
      </c>
      <c r="F38" s="145">
        <v>2554</v>
      </c>
      <c r="G38" s="267">
        <f>SUM(B38:F38)</f>
        <v>402628</v>
      </c>
      <c r="H38" s="144">
        <f>2174263+F38</f>
        <v>2176817</v>
      </c>
      <c r="I38" s="268">
        <f t="shared" si="1"/>
        <v>0.18496180432254986</v>
      </c>
      <c r="J38" s="66"/>
      <c r="K38" s="66"/>
    </row>
    <row r="39" spans="1:11" ht="12">
      <c r="A39" s="190">
        <v>2018</v>
      </c>
      <c r="B39" s="191">
        <v>335651</v>
      </c>
      <c r="C39" s="191">
        <v>17870</v>
      </c>
      <c r="D39" s="191">
        <v>16855</v>
      </c>
      <c r="E39" s="191">
        <v>4540</v>
      </c>
      <c r="F39" s="191">
        <v>6058</v>
      </c>
      <c r="G39" s="192">
        <f>SUM(B39:F39)</f>
        <v>380974</v>
      </c>
      <c r="H39" s="193">
        <f>2300189+F39</f>
        <v>2306247</v>
      </c>
      <c r="I39" s="194">
        <f>G39/H39</f>
        <v>0.16519219320393697</v>
      </c>
      <c r="J39" s="66"/>
      <c r="K39" s="66"/>
    </row>
    <row r="40" spans="1:11" s="6" customFormat="1" ht="12" customHeight="1">
      <c r="A40" s="65"/>
      <c r="B40" s="26"/>
      <c r="C40" s="12"/>
      <c r="D40" s="12"/>
      <c r="E40" s="12"/>
      <c r="F40" s="12"/>
      <c r="G40" s="12"/>
      <c r="H40" s="12"/>
      <c r="I40" s="13"/>
      <c r="J40" s="12"/>
      <c r="K40" s="12"/>
    </row>
    <row r="41" spans="1:2" ht="15" customHeight="1">
      <c r="A41" s="160" t="s">
        <v>106</v>
      </c>
      <c r="B41" s="25"/>
    </row>
    <row r="42" spans="1:2" ht="12">
      <c r="A42" s="28"/>
      <c r="B42" s="25"/>
    </row>
    <row r="50" ht="12.75" customHeight="1"/>
    <row r="51" s="6" customFormat="1" ht="12" customHeight="1">
      <c r="I51" s="30"/>
    </row>
    <row r="64" spans="1:11" ht="12">
      <c r="A64" s="27"/>
      <c r="B64" s="31"/>
      <c r="C64" s="19"/>
      <c r="D64" s="19"/>
      <c r="E64" s="19"/>
      <c r="F64" s="19"/>
      <c r="G64" s="19"/>
      <c r="H64" s="19"/>
      <c r="I64" s="20"/>
      <c r="J64" s="19"/>
      <c r="K64" s="19"/>
    </row>
    <row r="65" s="6" customFormat="1" ht="12" customHeight="1">
      <c r="I65" s="30"/>
    </row>
    <row r="75" ht="12.75" customHeight="1"/>
    <row r="76" s="6" customFormat="1" ht="12" customHeight="1">
      <c r="I76" s="30"/>
    </row>
    <row r="85" spans="1:11" ht="12">
      <c r="A85" s="32"/>
      <c r="B85" s="18"/>
      <c r="C85" s="19"/>
      <c r="D85" s="19"/>
      <c r="E85" s="19"/>
      <c r="F85" s="19"/>
      <c r="G85" s="19"/>
      <c r="H85" s="19"/>
      <c r="I85" s="20"/>
      <c r="J85" s="19"/>
      <c r="K85" s="19"/>
    </row>
    <row r="86" spans="1:11" s="34" customFormat="1" ht="12">
      <c r="A86" s="33"/>
      <c r="B86" s="7"/>
      <c r="C86" s="8"/>
      <c r="D86" s="8"/>
      <c r="E86" s="8"/>
      <c r="F86" s="8"/>
      <c r="G86" s="8"/>
      <c r="H86" s="8"/>
      <c r="I86" s="9"/>
      <c r="J86" s="8"/>
      <c r="K86" s="8"/>
    </row>
    <row r="87" spans="1:11" s="34" customFormat="1" ht="12">
      <c r="A87" s="33"/>
      <c r="B87" s="7"/>
      <c r="C87" s="8"/>
      <c r="D87" s="8"/>
      <c r="E87" s="8"/>
      <c r="F87" s="8"/>
      <c r="G87" s="8"/>
      <c r="H87" s="8"/>
      <c r="I87" s="9"/>
      <c r="J87" s="8"/>
      <c r="K87" s="8"/>
    </row>
    <row r="88" spans="1:2" ht="12" customHeight="1">
      <c r="A88" s="25"/>
      <c r="B88" s="22"/>
    </row>
    <row r="89" spans="1:2" ht="12.75">
      <c r="A89" s="35"/>
      <c r="B89" s="22"/>
    </row>
    <row r="90" spans="1:2" ht="12" customHeight="1">
      <c r="A90" s="36"/>
      <c r="B90" s="22"/>
    </row>
  </sheetData>
  <sheetProtection/>
  <printOptions/>
  <pageMargins left="0.46" right="0.75" top="0.5511811023622047" bottom="0" header="0" footer="0"/>
  <pageSetup fitToHeight="1" fitToWidth="1" horizontalDpi="600" verticalDpi="600" orientation="portrait" paperSize="9" r:id="rId1"/>
  <ignoredErrors>
    <ignoredError sqref="G8:H31 G32:G38 G3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1">
      <selection activeCell="K45" sqref="K45"/>
    </sheetView>
  </sheetViews>
  <sheetFormatPr defaultColWidth="11.421875" defaultRowHeight="12.75"/>
  <cols>
    <col min="1" max="7" width="11.421875" style="0" customWidth="1"/>
    <col min="8" max="8" width="11.421875" style="41" customWidth="1"/>
    <col min="9" max="10" width="9.140625" style="0" hidden="1" customWidth="1"/>
  </cols>
  <sheetData>
    <row r="1" spans="1:10" ht="15">
      <c r="A1" s="1" t="s">
        <v>230</v>
      </c>
      <c r="B1" s="2"/>
      <c r="C1" s="3"/>
      <c r="D1" s="3"/>
      <c r="E1" s="3"/>
      <c r="F1" s="3"/>
      <c r="G1" s="3"/>
      <c r="H1" s="4"/>
      <c r="I1" s="3"/>
      <c r="J1" s="3"/>
    </row>
    <row r="2" spans="1:10" ht="12.75">
      <c r="A2" s="6"/>
      <c r="B2" s="7"/>
      <c r="C2" s="8"/>
      <c r="D2" s="8"/>
      <c r="E2" s="8"/>
      <c r="F2" s="8"/>
      <c r="G2" s="8"/>
      <c r="H2" s="9"/>
      <c r="I2" s="8"/>
      <c r="J2" s="8"/>
    </row>
    <row r="3" spans="1:10" ht="12.75">
      <c r="A3" s="10" t="s">
        <v>7</v>
      </c>
      <c r="B3" s="11"/>
      <c r="C3" s="12"/>
      <c r="D3" s="12"/>
      <c r="E3" s="12"/>
      <c r="F3" s="12"/>
      <c r="G3" s="12"/>
      <c r="H3" s="13"/>
      <c r="I3" s="12"/>
      <c r="J3" s="12"/>
    </row>
    <row r="4" spans="1:10" ht="12.75">
      <c r="A4" s="188"/>
      <c r="B4" s="182"/>
      <c r="C4" s="183"/>
      <c r="D4" s="183"/>
      <c r="E4" s="183"/>
      <c r="F4" s="183" t="s">
        <v>1</v>
      </c>
      <c r="G4" s="183" t="s">
        <v>1</v>
      </c>
      <c r="H4" s="183" t="s">
        <v>87</v>
      </c>
      <c r="I4" s="56" t="s">
        <v>40</v>
      </c>
      <c r="J4" s="56" t="s">
        <v>41</v>
      </c>
    </row>
    <row r="5" spans="1:10" ht="12.75">
      <c r="A5" s="189"/>
      <c r="B5" s="185" t="s">
        <v>2</v>
      </c>
      <c r="C5" s="186" t="s">
        <v>3</v>
      </c>
      <c r="D5" s="187" t="s">
        <v>4</v>
      </c>
      <c r="E5" s="187" t="s">
        <v>105</v>
      </c>
      <c r="F5" s="187" t="s">
        <v>5</v>
      </c>
      <c r="G5" s="187" t="s">
        <v>6</v>
      </c>
      <c r="H5" s="187" t="s">
        <v>6</v>
      </c>
      <c r="I5" s="39" t="s">
        <v>39</v>
      </c>
      <c r="J5" s="39" t="s">
        <v>39</v>
      </c>
    </row>
    <row r="6" spans="1:10" ht="12.75">
      <c r="A6" s="17"/>
      <c r="B6" s="31"/>
      <c r="C6" s="67"/>
      <c r="D6" s="43"/>
      <c r="E6" s="43"/>
      <c r="F6" s="43"/>
      <c r="G6" s="43"/>
      <c r="H6" s="43"/>
      <c r="I6" s="43"/>
      <c r="J6" s="43"/>
    </row>
    <row r="7" spans="1:10" ht="12.75" hidden="1">
      <c r="A7" s="21">
        <v>1986</v>
      </c>
      <c r="B7" s="42">
        <v>6097417</v>
      </c>
      <c r="C7" s="42">
        <v>738166</v>
      </c>
      <c r="D7" s="42">
        <v>237969</v>
      </c>
      <c r="E7" s="42"/>
      <c r="F7" s="62">
        <f aca="true" t="shared" si="0" ref="F7:F30">SUM(B7:D7)</f>
        <v>7073552</v>
      </c>
      <c r="G7" s="62"/>
      <c r="H7" s="62"/>
      <c r="I7" s="62"/>
      <c r="J7" s="62"/>
    </row>
    <row r="8" spans="1:10" ht="12.75">
      <c r="A8" s="21">
        <v>1987</v>
      </c>
      <c r="B8" s="42">
        <v>6660559</v>
      </c>
      <c r="C8" s="42">
        <v>774930</v>
      </c>
      <c r="D8" s="42">
        <v>340026</v>
      </c>
      <c r="E8" s="42"/>
      <c r="F8" s="43">
        <f t="shared" si="0"/>
        <v>7775515</v>
      </c>
      <c r="G8" s="62">
        <v>63022000</v>
      </c>
      <c r="H8" s="66">
        <f aca="true" t="shared" si="1" ref="H8:H39">F8/G8</f>
        <v>0.1233777887087049</v>
      </c>
      <c r="I8" s="62"/>
      <c r="J8" s="62"/>
    </row>
    <row r="9" spans="1:10" ht="12.75">
      <c r="A9" s="195">
        <v>1988</v>
      </c>
      <c r="B9" s="191">
        <v>7234022</v>
      </c>
      <c r="C9" s="191">
        <v>725587</v>
      </c>
      <c r="D9" s="191">
        <v>391015</v>
      </c>
      <c r="E9" s="191"/>
      <c r="F9" s="192">
        <f t="shared" si="0"/>
        <v>8350624</v>
      </c>
      <c r="G9" s="193">
        <v>68322000</v>
      </c>
      <c r="H9" s="194">
        <f t="shared" si="1"/>
        <v>0.12222452504317789</v>
      </c>
      <c r="I9" s="66">
        <f aca="true" t="shared" si="2" ref="I9:I25">(F9-F8)/F8</f>
        <v>0.07396410398539519</v>
      </c>
      <c r="J9" s="66">
        <f aca="true" t="shared" si="3" ref="J9:J25">(G9-G8)/G8</f>
        <v>0.08409761670527752</v>
      </c>
    </row>
    <row r="10" spans="1:10" ht="12.75">
      <c r="A10" s="21">
        <v>1989</v>
      </c>
      <c r="B10" s="42">
        <v>8146000</v>
      </c>
      <c r="C10" s="42">
        <v>617000</v>
      </c>
      <c r="D10" s="42">
        <v>276473</v>
      </c>
      <c r="E10" s="42"/>
      <c r="F10" s="43">
        <f t="shared" si="0"/>
        <v>9039473</v>
      </c>
      <c r="G10" s="62">
        <v>70772000</v>
      </c>
      <c r="H10" s="66">
        <f t="shared" si="1"/>
        <v>0.12772668569490758</v>
      </c>
      <c r="I10" s="66">
        <f t="shared" si="2"/>
        <v>0.08249072165145982</v>
      </c>
      <c r="J10" s="66">
        <f t="shared" si="3"/>
        <v>0.0358596059834314</v>
      </c>
    </row>
    <row r="11" spans="1:10" ht="12.75">
      <c r="A11" s="195">
        <v>1990</v>
      </c>
      <c r="B11" s="191">
        <v>9041248</v>
      </c>
      <c r="C11" s="191">
        <v>402208</v>
      </c>
      <c r="D11" s="191">
        <v>89030</v>
      </c>
      <c r="E11" s="191"/>
      <c r="F11" s="192">
        <f t="shared" si="0"/>
        <v>9532486</v>
      </c>
      <c r="G11" s="193">
        <v>73369014</v>
      </c>
      <c r="H11" s="194">
        <f t="shared" si="1"/>
        <v>0.12992522974344456</v>
      </c>
      <c r="I11" s="66">
        <f t="shared" si="2"/>
        <v>0.054540015773043404</v>
      </c>
      <c r="J11" s="66">
        <f t="shared" si="3"/>
        <v>0.036695501045611256</v>
      </c>
    </row>
    <row r="12" spans="1:10" ht="12.75">
      <c r="A12" s="21">
        <v>1991</v>
      </c>
      <c r="B12" s="42">
        <v>8961234</v>
      </c>
      <c r="C12" s="42">
        <v>283588</v>
      </c>
      <c r="D12" s="42">
        <v>91730</v>
      </c>
      <c r="E12" s="42"/>
      <c r="F12" s="43">
        <f t="shared" si="0"/>
        <v>9336552</v>
      </c>
      <c r="G12" s="62">
        <v>76231803</v>
      </c>
      <c r="H12" s="66">
        <f t="shared" si="1"/>
        <v>0.1224758123587868</v>
      </c>
      <c r="I12" s="66">
        <f t="shared" si="2"/>
        <v>-0.020554344375643456</v>
      </c>
      <c r="J12" s="66">
        <f t="shared" si="3"/>
        <v>0.03901904692354186</v>
      </c>
    </row>
    <row r="13" spans="1:10" ht="12.75">
      <c r="A13" s="195">
        <v>1992</v>
      </c>
      <c r="B13" s="191">
        <v>10036210</v>
      </c>
      <c r="C13" s="191">
        <v>286957</v>
      </c>
      <c r="D13" s="191">
        <v>99994</v>
      </c>
      <c r="E13" s="191"/>
      <c r="F13" s="192">
        <f t="shared" si="0"/>
        <v>10423161</v>
      </c>
      <c r="G13" s="193">
        <v>82672214</v>
      </c>
      <c r="H13" s="194">
        <f t="shared" si="1"/>
        <v>0.1260781645451034</v>
      </c>
      <c r="I13" s="66">
        <f t="shared" si="2"/>
        <v>0.11638225760430618</v>
      </c>
      <c r="J13" s="66">
        <f t="shared" si="3"/>
        <v>0.08448456873045493</v>
      </c>
    </row>
    <row r="14" spans="1:10" ht="12.75">
      <c r="A14" s="21">
        <v>1993</v>
      </c>
      <c r="B14" s="42">
        <v>9654140</v>
      </c>
      <c r="C14" s="42">
        <v>256057</v>
      </c>
      <c r="D14" s="42">
        <v>103136</v>
      </c>
      <c r="E14" s="42"/>
      <c r="F14" s="43">
        <f t="shared" si="0"/>
        <v>10013333</v>
      </c>
      <c r="G14" s="62">
        <v>81409475</v>
      </c>
      <c r="H14" s="66">
        <f t="shared" si="1"/>
        <v>0.12299960170483841</v>
      </c>
      <c r="I14" s="66">
        <f t="shared" si="2"/>
        <v>-0.03931897434952794</v>
      </c>
      <c r="J14" s="66">
        <f t="shared" si="3"/>
        <v>-0.015274043586155804</v>
      </c>
    </row>
    <row r="15" spans="1:10" ht="12.75">
      <c r="A15" s="195">
        <v>1994</v>
      </c>
      <c r="B15" s="191">
        <v>10296695</v>
      </c>
      <c r="C15" s="191">
        <v>373334</v>
      </c>
      <c r="D15" s="191">
        <v>315305</v>
      </c>
      <c r="E15" s="191"/>
      <c r="F15" s="192">
        <f t="shared" si="0"/>
        <v>10985334</v>
      </c>
      <c r="G15" s="193">
        <v>89497927</v>
      </c>
      <c r="H15" s="194">
        <f t="shared" si="1"/>
        <v>0.12274400500918865</v>
      </c>
      <c r="I15" s="66">
        <f t="shared" si="2"/>
        <v>0.09707067566813168</v>
      </c>
      <c r="J15" s="66">
        <f t="shared" si="3"/>
        <v>0.09935516719644734</v>
      </c>
    </row>
    <row r="16" spans="1:10" ht="12.75">
      <c r="A16" s="21">
        <v>1995</v>
      </c>
      <c r="B16" s="42">
        <v>11313388</v>
      </c>
      <c r="C16" s="42">
        <v>524338</v>
      </c>
      <c r="D16" s="42">
        <v>474783</v>
      </c>
      <c r="E16" s="42"/>
      <c r="F16" s="43">
        <f t="shared" si="0"/>
        <v>12312509</v>
      </c>
      <c r="G16" s="62">
        <v>95432488</v>
      </c>
      <c r="H16" s="66">
        <f t="shared" si="1"/>
        <v>0.1290180027581383</v>
      </c>
      <c r="I16" s="66">
        <f t="shared" si="2"/>
        <v>0.12081334987174719</v>
      </c>
      <c r="J16" s="66">
        <f t="shared" si="3"/>
        <v>0.06630947999499474</v>
      </c>
    </row>
    <row r="17" spans="1:10" ht="12.75">
      <c r="A17" s="195">
        <v>1996</v>
      </c>
      <c r="B17" s="191">
        <v>12918697</v>
      </c>
      <c r="C17" s="191">
        <v>454962</v>
      </c>
      <c r="D17" s="191">
        <v>450428</v>
      </c>
      <c r="E17" s="191"/>
      <c r="F17" s="192">
        <f t="shared" si="0"/>
        <v>13824087</v>
      </c>
      <c r="G17" s="193">
        <v>100711101</v>
      </c>
      <c r="H17" s="194">
        <f t="shared" si="1"/>
        <v>0.13726477878540916</v>
      </c>
      <c r="I17" s="66">
        <f t="shared" si="2"/>
        <v>0.12276766660637568</v>
      </c>
      <c r="J17" s="66">
        <f t="shared" si="3"/>
        <v>0.05531253675373108</v>
      </c>
    </row>
    <row r="18" spans="1:10" ht="12.75">
      <c r="A18" s="21">
        <v>1997</v>
      </c>
      <c r="B18" s="42">
        <v>14562498</v>
      </c>
      <c r="C18" s="42">
        <v>506924</v>
      </c>
      <c r="D18" s="42">
        <v>517736</v>
      </c>
      <c r="E18" s="42"/>
      <c r="F18" s="43">
        <f t="shared" si="0"/>
        <v>15587158</v>
      </c>
      <c r="G18" s="62">
        <v>108652483</v>
      </c>
      <c r="H18" s="66">
        <f t="shared" si="1"/>
        <v>0.14345882919215017</v>
      </c>
      <c r="I18" s="66">
        <f t="shared" si="2"/>
        <v>0.1275361620626375</v>
      </c>
      <c r="J18" s="66">
        <f t="shared" si="3"/>
        <v>0.07885309485396252</v>
      </c>
    </row>
    <row r="19" spans="1:10" ht="12.75">
      <c r="A19" s="195">
        <v>1998</v>
      </c>
      <c r="B19" s="191">
        <v>15746291</v>
      </c>
      <c r="C19" s="191">
        <v>585734</v>
      </c>
      <c r="D19" s="191">
        <v>556446</v>
      </c>
      <c r="E19" s="191"/>
      <c r="F19" s="192">
        <f t="shared" si="0"/>
        <v>16888471</v>
      </c>
      <c r="G19" s="193">
        <v>116369633</v>
      </c>
      <c r="H19" s="194">
        <f t="shared" si="1"/>
        <v>0.14512781869819938</v>
      </c>
      <c r="I19" s="66">
        <f t="shared" si="2"/>
        <v>0.0834862262896161</v>
      </c>
      <c r="J19" s="66">
        <f t="shared" si="3"/>
        <v>0.07102598842586966</v>
      </c>
    </row>
    <row r="20" spans="1:10" ht="12.75">
      <c r="A20" s="21">
        <v>1999</v>
      </c>
      <c r="B20" s="42">
        <v>17128668</v>
      </c>
      <c r="C20" s="42">
        <v>606411</v>
      </c>
      <c r="D20" s="42">
        <v>617419</v>
      </c>
      <c r="E20" s="42"/>
      <c r="F20" s="43">
        <f t="shared" si="0"/>
        <v>18352498</v>
      </c>
      <c r="G20" s="62">
        <v>126693764</v>
      </c>
      <c r="H20" s="66">
        <f t="shared" si="1"/>
        <v>0.14485715334813165</v>
      </c>
      <c r="I20" s="66">
        <f t="shared" si="2"/>
        <v>0.08668795416707646</v>
      </c>
      <c r="J20" s="66">
        <f t="shared" si="3"/>
        <v>0.08871842880178199</v>
      </c>
    </row>
    <row r="21" spans="1:10" ht="12.75">
      <c r="A21" s="195">
        <v>2000</v>
      </c>
      <c r="B21" s="191">
        <v>19375338</v>
      </c>
      <c r="C21" s="191">
        <v>627222</v>
      </c>
      <c r="D21" s="191">
        <v>686282</v>
      </c>
      <c r="E21" s="191"/>
      <c r="F21" s="192">
        <f t="shared" si="0"/>
        <v>20688842</v>
      </c>
      <c r="G21" s="193">
        <v>138614266</v>
      </c>
      <c r="H21" s="194">
        <f t="shared" si="1"/>
        <v>0.14925478161100678</v>
      </c>
      <c r="I21" s="66">
        <f t="shared" si="2"/>
        <v>0.12730386893380943</v>
      </c>
      <c r="J21" s="66">
        <f t="shared" si="3"/>
        <v>0.09408909818165952</v>
      </c>
    </row>
    <row r="22" spans="1:10" ht="12.75">
      <c r="A22" s="21">
        <v>2001</v>
      </c>
      <c r="B22" s="42">
        <v>20545680</v>
      </c>
      <c r="C22" s="42">
        <v>602488</v>
      </c>
      <c r="D22" s="42">
        <v>733033</v>
      </c>
      <c r="E22" s="42"/>
      <c r="F22" s="43">
        <f t="shared" si="0"/>
        <v>21881201</v>
      </c>
      <c r="G22" s="62">
        <v>142732204</v>
      </c>
      <c r="H22" s="66">
        <f t="shared" si="1"/>
        <v>0.15330248105746339</v>
      </c>
      <c r="I22" s="66">
        <f t="shared" si="2"/>
        <v>0.057632950167051396</v>
      </c>
      <c r="J22" s="66">
        <f t="shared" si="3"/>
        <v>0.02970789456837004</v>
      </c>
    </row>
    <row r="23" spans="1:10" ht="12.75">
      <c r="A23" s="195">
        <v>2002</v>
      </c>
      <c r="B23" s="191">
        <v>21168997</v>
      </c>
      <c r="C23" s="191">
        <v>534183</v>
      </c>
      <c r="D23" s="191">
        <v>753504</v>
      </c>
      <c r="E23" s="191"/>
      <c r="F23" s="192">
        <f t="shared" si="0"/>
        <v>22456684</v>
      </c>
      <c r="G23" s="193">
        <v>141239896</v>
      </c>
      <c r="H23" s="194">
        <f t="shared" si="1"/>
        <v>0.15899674692482074</v>
      </c>
      <c r="I23" s="66">
        <f t="shared" si="2"/>
        <v>0.02630033881595439</v>
      </c>
      <c r="J23" s="66">
        <f t="shared" si="3"/>
        <v>-0.010455299912555123</v>
      </c>
    </row>
    <row r="24" spans="1:10" ht="12.75">
      <c r="A24" s="21">
        <v>2003</v>
      </c>
      <c r="B24" s="42">
        <v>22541624</v>
      </c>
      <c r="C24" s="42">
        <v>1427885</v>
      </c>
      <c r="D24" s="42">
        <v>837563</v>
      </c>
      <c r="E24" s="42"/>
      <c r="F24" s="43">
        <f t="shared" si="0"/>
        <v>24807072</v>
      </c>
      <c r="G24" s="62">
        <v>151739429</v>
      </c>
      <c r="H24" s="66">
        <f t="shared" si="1"/>
        <v>0.16348468004318112</v>
      </c>
      <c r="I24" s="66">
        <f t="shared" si="2"/>
        <v>0.10466318179478323</v>
      </c>
      <c r="J24" s="66">
        <f t="shared" si="3"/>
        <v>0.07433829461330105</v>
      </c>
    </row>
    <row r="25" spans="1:10" ht="12.75">
      <c r="A25" s="195">
        <v>2004</v>
      </c>
      <c r="B25" s="191">
        <v>24363294</v>
      </c>
      <c r="C25" s="191">
        <v>2936529</v>
      </c>
      <c r="D25" s="191">
        <v>1127170</v>
      </c>
      <c r="E25" s="191"/>
      <c r="F25" s="192">
        <f t="shared" si="0"/>
        <v>28426993</v>
      </c>
      <c r="G25" s="193">
        <v>163888517</v>
      </c>
      <c r="H25" s="194">
        <f t="shared" si="1"/>
        <v>0.17345323223591072</v>
      </c>
      <c r="I25" s="66">
        <f t="shared" si="2"/>
        <v>0.14592294487636429</v>
      </c>
      <c r="J25" s="66">
        <f t="shared" si="3"/>
        <v>0.08006546538408287</v>
      </c>
    </row>
    <row r="26" spans="1:10" ht="12.75">
      <c r="A26" s="21">
        <v>2005</v>
      </c>
      <c r="B26" s="42">
        <v>26941215</v>
      </c>
      <c r="C26" s="42">
        <v>3513612</v>
      </c>
      <c r="D26" s="42">
        <v>1351608</v>
      </c>
      <c r="E26" s="42"/>
      <c r="F26" s="43">
        <f t="shared" si="0"/>
        <v>31806435</v>
      </c>
      <c r="G26" s="62">
        <v>179047362</v>
      </c>
      <c r="H26" s="66">
        <f t="shared" si="1"/>
        <v>0.17764257816878642</v>
      </c>
      <c r="I26" s="66">
        <f aca="true" t="shared" si="4" ref="I26:J28">(F26-F25)/F25</f>
        <v>0.11888144482956745</v>
      </c>
      <c r="J26" s="66">
        <f t="shared" si="4"/>
        <v>0.09249485734256781</v>
      </c>
    </row>
    <row r="27" spans="1:10" ht="12.75">
      <c r="A27" s="195">
        <v>2006</v>
      </c>
      <c r="B27" s="191">
        <v>30008302</v>
      </c>
      <c r="C27" s="191">
        <v>3614254</v>
      </c>
      <c r="D27" s="191">
        <v>1380267</v>
      </c>
      <c r="E27" s="191"/>
      <c r="F27" s="192">
        <f t="shared" si="0"/>
        <v>35002823</v>
      </c>
      <c r="G27" s="193">
        <v>193553178</v>
      </c>
      <c r="H27" s="194">
        <f t="shared" si="1"/>
        <v>0.1808434424156032</v>
      </c>
      <c r="I27" s="66">
        <f t="shared" si="4"/>
        <v>0.10049500989343824</v>
      </c>
      <c r="J27" s="66">
        <f t="shared" si="4"/>
        <v>0.08101664184250869</v>
      </c>
    </row>
    <row r="28" spans="1:10" ht="12.75">
      <c r="A28" s="21">
        <v>2007</v>
      </c>
      <c r="B28" s="42">
        <v>32898249</v>
      </c>
      <c r="C28" s="42">
        <v>4848604</v>
      </c>
      <c r="D28" s="42">
        <v>1306785</v>
      </c>
      <c r="E28" s="42"/>
      <c r="F28" s="43">
        <f t="shared" si="0"/>
        <v>39053638</v>
      </c>
      <c r="G28" s="62">
        <v>210498760</v>
      </c>
      <c r="H28" s="66">
        <f t="shared" si="1"/>
        <v>0.18552906439923922</v>
      </c>
      <c r="I28" s="66">
        <f t="shared" si="4"/>
        <v>0.11572823711961747</v>
      </c>
      <c r="J28" s="66">
        <f t="shared" si="4"/>
        <v>0.08755000654135475</v>
      </c>
    </row>
    <row r="29" spans="1:10" ht="12.75">
      <c r="A29" s="195">
        <v>2008</v>
      </c>
      <c r="B29" s="191">
        <v>30272084</v>
      </c>
      <c r="C29" s="191">
        <v>5510970</v>
      </c>
      <c r="D29" s="191">
        <v>1278074</v>
      </c>
      <c r="E29" s="191"/>
      <c r="F29" s="192">
        <f t="shared" si="0"/>
        <v>37061128</v>
      </c>
      <c r="G29" s="193">
        <v>203862028</v>
      </c>
      <c r="H29" s="194">
        <f t="shared" si="1"/>
        <v>0.18179515019834885</v>
      </c>
      <c r="I29" s="66">
        <f aca="true" t="shared" si="5" ref="I29:J31">(F29-F28)/F28</f>
        <v>-0.051019830726141316</v>
      </c>
      <c r="J29" s="66">
        <f t="shared" si="5"/>
        <v>-0.03152860377894862</v>
      </c>
    </row>
    <row r="30" spans="1:10" ht="12.75">
      <c r="A30" s="21">
        <v>2009</v>
      </c>
      <c r="B30" s="42">
        <v>27311765</v>
      </c>
      <c r="C30" s="42">
        <v>5286975</v>
      </c>
      <c r="D30" s="42">
        <v>1706609</v>
      </c>
      <c r="E30" s="42"/>
      <c r="F30" s="43">
        <f t="shared" si="0"/>
        <v>34305349</v>
      </c>
      <c r="G30" s="62">
        <v>187349814</v>
      </c>
      <c r="H30" s="66">
        <f t="shared" si="1"/>
        <v>0.18310852980083556</v>
      </c>
      <c r="I30" s="66">
        <f t="shared" si="5"/>
        <v>-0.07435766660960778</v>
      </c>
      <c r="J30" s="66">
        <f t="shared" si="5"/>
        <v>-0.08099700646556895</v>
      </c>
    </row>
    <row r="31" spans="1:10" ht="12.75">
      <c r="A31" s="195">
        <v>2010</v>
      </c>
      <c r="B31" s="191">
        <v>29209595</v>
      </c>
      <c r="C31" s="191">
        <v>4863785</v>
      </c>
      <c r="D31" s="191">
        <v>1421341</v>
      </c>
      <c r="E31" s="191">
        <v>56135</v>
      </c>
      <c r="F31" s="192">
        <f>SUM(B31:E31)</f>
        <v>35550856</v>
      </c>
      <c r="G31" s="193">
        <v>192787860</v>
      </c>
      <c r="H31" s="194">
        <f t="shared" si="1"/>
        <v>0.1844040179708411</v>
      </c>
      <c r="I31" s="66">
        <f t="shared" si="5"/>
        <v>0.03630649552639736</v>
      </c>
      <c r="J31" s="66">
        <f t="shared" si="5"/>
        <v>0.029026161723331095</v>
      </c>
    </row>
    <row r="32" spans="1:10" ht="12.75">
      <c r="A32" s="21">
        <v>2011</v>
      </c>
      <c r="B32" s="42">
        <v>34398226</v>
      </c>
      <c r="C32" s="42">
        <v>3007977</v>
      </c>
      <c r="D32" s="42">
        <v>1362683</v>
      </c>
      <c r="E32" s="42"/>
      <c r="F32" s="43">
        <f aca="true" t="shared" si="6" ref="F32:F39">B32+C32+D32+E32</f>
        <v>38768886</v>
      </c>
      <c r="G32" s="62">
        <v>204386371</v>
      </c>
      <c r="H32" s="66">
        <f t="shared" si="1"/>
        <v>0.18968430140579187</v>
      </c>
      <c r="I32" s="66"/>
      <c r="J32" s="66"/>
    </row>
    <row r="33" spans="1:10" ht="12.75">
      <c r="A33" s="195">
        <v>2012</v>
      </c>
      <c r="B33" s="191">
        <v>35145184</v>
      </c>
      <c r="C33" s="191">
        <v>2844682</v>
      </c>
      <c r="D33" s="191">
        <v>937446</v>
      </c>
      <c r="E33" s="191"/>
      <c r="F33" s="192">
        <f t="shared" si="6"/>
        <v>38927312</v>
      </c>
      <c r="G33" s="193">
        <v>194229665</v>
      </c>
      <c r="H33" s="194">
        <f t="shared" si="1"/>
        <v>0.2004189833720817</v>
      </c>
      <c r="I33" s="66"/>
      <c r="J33" s="66"/>
    </row>
    <row r="34" spans="1:10" ht="12.75">
      <c r="A34" s="21">
        <v>2013</v>
      </c>
      <c r="B34" s="42">
        <v>35210735</v>
      </c>
      <c r="C34" s="42">
        <v>2736867</v>
      </c>
      <c r="D34" s="42">
        <v>971166</v>
      </c>
      <c r="E34" s="42">
        <v>29443</v>
      </c>
      <c r="F34" s="43">
        <f t="shared" si="6"/>
        <v>38948211</v>
      </c>
      <c r="G34" s="62">
        <f>187361347+E34</f>
        <v>187390790</v>
      </c>
      <c r="H34" s="66">
        <f t="shared" si="1"/>
        <v>0.20784485192682095</v>
      </c>
      <c r="I34" s="66"/>
      <c r="J34" s="66"/>
    </row>
    <row r="35" spans="1:10" ht="12.75">
      <c r="A35" s="195">
        <v>2014</v>
      </c>
      <c r="B35" s="191">
        <v>37559044</v>
      </c>
      <c r="C35" s="191">
        <v>2160646</v>
      </c>
      <c r="D35" s="191">
        <v>850648</v>
      </c>
      <c r="E35" s="191">
        <v>31415</v>
      </c>
      <c r="F35" s="192">
        <f t="shared" si="6"/>
        <v>40601753</v>
      </c>
      <c r="G35" s="193">
        <f>195861278+E35</f>
        <v>195892693</v>
      </c>
      <c r="H35" s="194">
        <f t="shared" si="1"/>
        <v>0.207265275586364</v>
      </c>
      <c r="I35" s="66"/>
      <c r="J35" s="66"/>
    </row>
    <row r="36" spans="1:10" ht="12.75">
      <c r="A36" s="21">
        <v>2015</v>
      </c>
      <c r="B36" s="42">
        <v>39711237</v>
      </c>
      <c r="C36" s="42">
        <v>1775326</v>
      </c>
      <c r="D36" s="42">
        <v>705038</v>
      </c>
      <c r="E36" s="42">
        <v>28885</v>
      </c>
      <c r="F36" s="43">
        <f t="shared" si="6"/>
        <v>42220486</v>
      </c>
      <c r="G36" s="62">
        <f>207421046+E36</f>
        <v>207449931</v>
      </c>
      <c r="H36" s="66">
        <f t="shared" si="1"/>
        <v>0.20352133064821312</v>
      </c>
      <c r="I36" s="66"/>
      <c r="J36" s="66"/>
    </row>
    <row r="37" spans="1:10" ht="12.75">
      <c r="A37" s="195">
        <v>2016</v>
      </c>
      <c r="B37" s="191">
        <v>44154693</v>
      </c>
      <c r="C37" s="191">
        <v>1664763</v>
      </c>
      <c r="D37" s="191">
        <v>817611</v>
      </c>
      <c r="E37" s="191">
        <v>32854</v>
      </c>
      <c r="F37" s="192">
        <f t="shared" si="6"/>
        <v>46669921</v>
      </c>
      <c r="G37" s="193">
        <f>230229523+E37</f>
        <v>230262377</v>
      </c>
      <c r="H37" s="194">
        <f t="shared" si="1"/>
        <v>0.2026814871280513</v>
      </c>
      <c r="I37" s="66"/>
      <c r="J37" s="66"/>
    </row>
    <row r="38" spans="1:10" ht="12.75">
      <c r="A38" s="266">
        <v>2017</v>
      </c>
      <c r="B38" s="145">
        <v>47284500</v>
      </c>
      <c r="C38" s="145">
        <v>1946816</v>
      </c>
      <c r="D38" s="145">
        <v>1022964</v>
      </c>
      <c r="E38" s="145">
        <v>27052</v>
      </c>
      <c r="F38" s="267">
        <f t="shared" si="6"/>
        <v>50281332</v>
      </c>
      <c r="G38" s="144">
        <f>249223044+E38</f>
        <v>249250096</v>
      </c>
      <c r="H38" s="268">
        <f t="shared" si="1"/>
        <v>0.2017304418610936</v>
      </c>
      <c r="I38" s="66"/>
      <c r="J38" s="66"/>
    </row>
    <row r="39" spans="1:10" ht="12.75">
      <c r="A39" s="195">
        <v>2018</v>
      </c>
      <c r="B39" s="191">
        <v>50172457</v>
      </c>
      <c r="C39" s="191">
        <v>2019876</v>
      </c>
      <c r="D39" s="191">
        <v>1037576</v>
      </c>
      <c r="E39" s="191">
        <v>44892</v>
      </c>
      <c r="F39" s="192">
        <f t="shared" si="6"/>
        <v>53274801</v>
      </c>
      <c r="G39" s="193">
        <f>263753406+E39</f>
        <v>263798298</v>
      </c>
      <c r="H39" s="194">
        <f t="shared" si="1"/>
        <v>0.20195278515405737</v>
      </c>
      <c r="I39" s="66"/>
      <c r="J39" s="66"/>
    </row>
    <row r="40" spans="1:10" ht="12.75">
      <c r="A40" s="40"/>
      <c r="B40" s="37"/>
      <c r="C40" s="39"/>
      <c r="D40" s="39"/>
      <c r="E40" s="39"/>
      <c r="F40" s="39"/>
      <c r="G40" s="39"/>
      <c r="H40" s="39"/>
      <c r="I40" s="39"/>
      <c r="J40" s="39"/>
    </row>
    <row r="41" spans="1:10" ht="15" customHeight="1">
      <c r="A41" s="160" t="s">
        <v>106</v>
      </c>
      <c r="B41" s="31"/>
      <c r="C41" s="19"/>
      <c r="D41" s="19"/>
      <c r="E41" s="19"/>
      <c r="F41" s="19"/>
      <c r="G41" s="19"/>
      <c r="H41" s="20"/>
      <c r="I41" s="19"/>
      <c r="J41" s="19"/>
    </row>
    <row r="42" spans="1:10" ht="12.75">
      <c r="A42" s="27"/>
      <c r="B42" s="31"/>
      <c r="C42" s="19"/>
      <c r="D42" s="19"/>
      <c r="E42" s="19"/>
      <c r="F42" s="19"/>
      <c r="G42" s="19"/>
      <c r="H42" s="20"/>
      <c r="I42" s="19"/>
      <c r="J42" s="19"/>
    </row>
  </sheetData>
  <sheetProtection/>
  <printOptions/>
  <pageMargins left="0.42" right="0.75" top="0.5511811023622047" bottom="0" header="0" footer="0"/>
  <pageSetup horizontalDpi="600" verticalDpi="600" orientation="portrait" paperSize="9" r:id="rId1"/>
  <ignoredErrors>
    <ignoredError sqref="F40:G41 F8:G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20">
      <selection activeCell="K45" sqref="K45"/>
    </sheetView>
  </sheetViews>
  <sheetFormatPr defaultColWidth="11.421875" defaultRowHeight="12.75"/>
  <cols>
    <col min="1" max="6" width="11.421875" style="0" customWidth="1"/>
    <col min="7" max="7" width="11.421875" style="41" customWidth="1"/>
    <col min="8" max="9" width="9.140625" style="0" hidden="1" customWidth="1"/>
  </cols>
  <sheetData>
    <row r="1" spans="1:9" ht="15">
      <c r="A1" s="1" t="s">
        <v>234</v>
      </c>
      <c r="B1" s="2"/>
      <c r="C1" s="3"/>
      <c r="D1" s="3"/>
      <c r="E1" s="3"/>
      <c r="F1" s="3"/>
      <c r="G1" s="4"/>
      <c r="H1" s="3"/>
      <c r="I1" s="3"/>
    </row>
    <row r="2" spans="1:9" ht="12.75">
      <c r="A2" s="6"/>
      <c r="B2" s="7"/>
      <c r="C2" s="8"/>
      <c r="D2" s="8"/>
      <c r="E2" s="8"/>
      <c r="F2" s="8"/>
      <c r="G2" s="9"/>
      <c r="H2" s="8"/>
      <c r="I2" s="8"/>
    </row>
    <row r="3" spans="1:9" ht="12.75">
      <c r="A3" s="10" t="s">
        <v>8</v>
      </c>
      <c r="B3" s="11"/>
      <c r="C3" s="12"/>
      <c r="D3" s="12"/>
      <c r="E3" s="12"/>
      <c r="F3" s="12"/>
      <c r="G3" s="13"/>
      <c r="H3" s="12"/>
      <c r="I3" s="12"/>
    </row>
    <row r="4" spans="1:9" ht="12.75">
      <c r="A4" s="188"/>
      <c r="B4" s="182"/>
      <c r="C4" s="183"/>
      <c r="D4" s="183"/>
      <c r="E4" s="183" t="s">
        <v>1</v>
      </c>
      <c r="F4" s="183" t="s">
        <v>1</v>
      </c>
      <c r="G4" s="183" t="s">
        <v>87</v>
      </c>
      <c r="H4" s="56" t="s">
        <v>40</v>
      </c>
      <c r="I4" s="56" t="s">
        <v>41</v>
      </c>
    </row>
    <row r="5" spans="1:9" ht="12.75">
      <c r="A5" s="189"/>
      <c r="B5" s="185" t="s">
        <v>2</v>
      </c>
      <c r="C5" s="186" t="s">
        <v>3</v>
      </c>
      <c r="D5" s="187" t="s">
        <v>4</v>
      </c>
      <c r="E5" s="187" t="s">
        <v>5</v>
      </c>
      <c r="F5" s="187" t="s">
        <v>6</v>
      </c>
      <c r="G5" s="187" t="s">
        <v>6</v>
      </c>
      <c r="H5" s="39" t="s">
        <v>39</v>
      </c>
      <c r="I5" s="39" t="s">
        <v>39</v>
      </c>
    </row>
    <row r="6" spans="1:9" ht="12.75">
      <c r="A6" s="17"/>
      <c r="B6" s="31"/>
      <c r="C6" s="67"/>
      <c r="D6" s="43"/>
      <c r="E6" s="43"/>
      <c r="F6" s="43"/>
      <c r="G6" s="43"/>
      <c r="H6" s="43"/>
      <c r="I6" s="43"/>
    </row>
    <row r="7" spans="1:9" ht="12.75" hidden="1">
      <c r="A7" s="21">
        <v>1986</v>
      </c>
      <c r="B7" s="42">
        <v>47054</v>
      </c>
      <c r="C7" s="42" t="s">
        <v>9</v>
      </c>
      <c r="D7" s="42">
        <v>16</v>
      </c>
      <c r="E7" s="62">
        <f aca="true" t="shared" si="0" ref="E7:E17">SUM(B7:D7)</f>
        <v>47070</v>
      </c>
      <c r="F7" s="62"/>
      <c r="G7" s="62"/>
      <c r="H7" s="62"/>
      <c r="I7" s="62"/>
    </row>
    <row r="8" spans="1:9" ht="12.75">
      <c r="A8" s="21">
        <v>1987</v>
      </c>
      <c r="B8" s="42">
        <v>45054</v>
      </c>
      <c r="C8" s="42">
        <v>0</v>
      </c>
      <c r="D8" s="42">
        <v>2</v>
      </c>
      <c r="E8" s="43">
        <f t="shared" si="0"/>
        <v>45056</v>
      </c>
      <c r="F8" s="62">
        <v>348651</v>
      </c>
      <c r="G8" s="66">
        <f aca="true" t="shared" si="1" ref="G8:G39">E8/F8</f>
        <v>0.1292295160490003</v>
      </c>
      <c r="H8" s="62"/>
      <c r="I8" s="62"/>
    </row>
    <row r="9" spans="1:9" ht="12.75">
      <c r="A9" s="195">
        <v>1988</v>
      </c>
      <c r="B9" s="191">
        <v>55642</v>
      </c>
      <c r="C9" s="191">
        <v>0</v>
      </c>
      <c r="D9" s="191">
        <v>0</v>
      </c>
      <c r="E9" s="192">
        <f t="shared" si="0"/>
        <v>55642</v>
      </c>
      <c r="F9" s="193">
        <v>369948</v>
      </c>
      <c r="G9" s="194">
        <f t="shared" si="1"/>
        <v>0.1504049217727897</v>
      </c>
      <c r="H9" s="66">
        <f aca="true" t="shared" si="2" ref="H9:H26">(E9-E8)/E8</f>
        <v>0.2349520596590909</v>
      </c>
      <c r="I9" s="66">
        <f aca="true" t="shared" si="3" ref="I9:I26">(F9-F8)/F8</f>
        <v>0.061084006642745894</v>
      </c>
    </row>
    <row r="10" spans="1:9" ht="12.75">
      <c r="A10" s="21">
        <v>1989</v>
      </c>
      <c r="B10" s="42">
        <v>61322</v>
      </c>
      <c r="C10" s="42">
        <v>0</v>
      </c>
      <c r="D10" s="42">
        <v>0</v>
      </c>
      <c r="E10" s="43">
        <f t="shared" si="0"/>
        <v>61322</v>
      </c>
      <c r="F10" s="62">
        <v>408547</v>
      </c>
      <c r="G10" s="66">
        <f t="shared" si="1"/>
        <v>0.1500977855668993</v>
      </c>
      <c r="H10" s="66">
        <f t="shared" si="2"/>
        <v>0.10208116171237554</v>
      </c>
      <c r="I10" s="66">
        <f t="shared" si="3"/>
        <v>0.1043362850995275</v>
      </c>
    </row>
    <row r="11" spans="1:9" ht="12.75">
      <c r="A11" s="195">
        <v>1990</v>
      </c>
      <c r="B11" s="191">
        <v>66013</v>
      </c>
      <c r="C11" s="191">
        <v>0</v>
      </c>
      <c r="D11" s="191">
        <v>16</v>
      </c>
      <c r="E11" s="192">
        <f t="shared" si="0"/>
        <v>66029</v>
      </c>
      <c r="F11" s="193">
        <v>424733</v>
      </c>
      <c r="G11" s="194">
        <f t="shared" si="1"/>
        <v>0.15546001841156679</v>
      </c>
      <c r="H11" s="66">
        <f t="shared" si="2"/>
        <v>0.07675874889925312</v>
      </c>
      <c r="I11" s="66">
        <f t="shared" si="3"/>
        <v>0.039618452711683114</v>
      </c>
    </row>
    <row r="12" spans="1:9" ht="12.75">
      <c r="A12" s="21">
        <v>1991</v>
      </c>
      <c r="B12" s="42">
        <v>62662</v>
      </c>
      <c r="C12" s="42">
        <v>23</v>
      </c>
      <c r="D12" s="42">
        <v>1</v>
      </c>
      <c r="E12" s="43">
        <f t="shared" si="0"/>
        <v>62686</v>
      </c>
      <c r="F12" s="62">
        <v>382827</v>
      </c>
      <c r="G12" s="66">
        <f t="shared" si="1"/>
        <v>0.16374498141458152</v>
      </c>
      <c r="H12" s="66">
        <f t="shared" si="2"/>
        <v>-0.05062926895757924</v>
      </c>
      <c r="I12" s="66">
        <f t="shared" si="3"/>
        <v>-0.09866433736017687</v>
      </c>
    </row>
    <row r="13" spans="1:9" ht="12.75">
      <c r="A13" s="195">
        <v>1992</v>
      </c>
      <c r="B13" s="191">
        <v>72421</v>
      </c>
      <c r="C13" s="191">
        <v>193</v>
      </c>
      <c r="D13" s="191">
        <v>10</v>
      </c>
      <c r="E13" s="192">
        <f t="shared" si="0"/>
        <v>72624</v>
      </c>
      <c r="F13" s="193">
        <v>396782</v>
      </c>
      <c r="G13" s="194">
        <f t="shared" si="1"/>
        <v>0.18303249643381</v>
      </c>
      <c r="H13" s="66">
        <f t="shared" si="2"/>
        <v>0.15853619627987112</v>
      </c>
      <c r="I13" s="66">
        <f t="shared" si="3"/>
        <v>0.0364524968197123</v>
      </c>
    </row>
    <row r="14" spans="1:9" ht="12.75">
      <c r="A14" s="21">
        <v>1993</v>
      </c>
      <c r="B14" s="42">
        <v>57477</v>
      </c>
      <c r="C14" s="42">
        <v>97</v>
      </c>
      <c r="D14" s="42">
        <v>0</v>
      </c>
      <c r="E14" s="43">
        <f t="shared" si="0"/>
        <v>57574</v>
      </c>
      <c r="F14" s="62">
        <v>379682</v>
      </c>
      <c r="G14" s="66">
        <f t="shared" si="1"/>
        <v>0.15163742289600243</v>
      </c>
      <c r="H14" s="66">
        <f t="shared" si="2"/>
        <v>-0.20723176911213922</v>
      </c>
      <c r="I14" s="66">
        <f t="shared" si="3"/>
        <v>-0.043096713056539865</v>
      </c>
    </row>
    <row r="15" spans="1:9" ht="12.75">
      <c r="A15" s="195">
        <v>1994</v>
      </c>
      <c r="B15" s="191">
        <v>58883.864</v>
      </c>
      <c r="C15" s="193">
        <v>40.282</v>
      </c>
      <c r="D15" s="191">
        <v>0</v>
      </c>
      <c r="E15" s="192">
        <f t="shared" si="0"/>
        <v>58924.146</v>
      </c>
      <c r="F15" s="193">
        <v>413123</v>
      </c>
      <c r="G15" s="194">
        <f t="shared" si="1"/>
        <v>0.1426309985161804</v>
      </c>
      <c r="H15" s="66">
        <f t="shared" si="2"/>
        <v>0.02345062007156009</v>
      </c>
      <c r="I15" s="66">
        <f t="shared" si="3"/>
        <v>0.08807633756670055</v>
      </c>
    </row>
    <row r="16" spans="1:9" ht="12.75">
      <c r="A16" s="21">
        <v>1995</v>
      </c>
      <c r="B16" s="42">
        <v>68518.597</v>
      </c>
      <c r="C16" s="62">
        <v>10.979</v>
      </c>
      <c r="D16" s="42">
        <v>0</v>
      </c>
      <c r="E16" s="43">
        <f t="shared" si="0"/>
        <v>68529.576</v>
      </c>
      <c r="F16" s="62">
        <v>452805</v>
      </c>
      <c r="G16" s="66">
        <f t="shared" si="1"/>
        <v>0.15134456554145825</v>
      </c>
      <c r="H16" s="66">
        <f t="shared" si="2"/>
        <v>0.16301347837947452</v>
      </c>
      <c r="I16" s="66">
        <f t="shared" si="3"/>
        <v>0.09605371765793723</v>
      </c>
    </row>
    <row r="17" spans="1:9" ht="12.75">
      <c r="A17" s="195">
        <v>1996</v>
      </c>
      <c r="B17" s="191">
        <v>76648</v>
      </c>
      <c r="C17" s="193">
        <v>14</v>
      </c>
      <c r="D17" s="191">
        <v>65</v>
      </c>
      <c r="E17" s="192">
        <f t="shared" si="0"/>
        <v>76727</v>
      </c>
      <c r="F17" s="193">
        <v>491878</v>
      </c>
      <c r="G17" s="194">
        <f t="shared" si="1"/>
        <v>0.15598786691008745</v>
      </c>
      <c r="H17" s="66">
        <f t="shared" si="2"/>
        <v>0.11961877598659007</v>
      </c>
      <c r="I17" s="66">
        <f t="shared" si="3"/>
        <v>0.08629100827066839</v>
      </c>
    </row>
    <row r="18" spans="1:9" ht="12.75">
      <c r="A18" s="21">
        <v>1997</v>
      </c>
      <c r="B18" s="62">
        <v>77930</v>
      </c>
      <c r="C18" s="62">
        <v>55</v>
      </c>
      <c r="D18" s="62">
        <v>19</v>
      </c>
      <c r="E18" s="43">
        <f>SUM(B18:D18)+1</f>
        <v>78005</v>
      </c>
      <c r="F18" s="62">
        <v>542071</v>
      </c>
      <c r="G18" s="66">
        <f t="shared" si="1"/>
        <v>0.14390181360006346</v>
      </c>
      <c r="H18" s="66">
        <f t="shared" si="2"/>
        <v>0.01665645730968238</v>
      </c>
      <c r="I18" s="66">
        <f t="shared" si="3"/>
        <v>0.10204359617628761</v>
      </c>
    </row>
    <row r="19" spans="1:9" ht="12.75">
      <c r="A19" s="195">
        <v>1998</v>
      </c>
      <c r="B19" s="193">
        <v>77014</v>
      </c>
      <c r="C19" s="193">
        <v>203</v>
      </c>
      <c r="D19" s="193">
        <v>1</v>
      </c>
      <c r="E19" s="192">
        <f aca="true" t="shared" si="4" ref="E19:E38">SUM(B19:D19)</f>
        <v>77218</v>
      </c>
      <c r="F19" s="193">
        <v>547966</v>
      </c>
      <c r="G19" s="194">
        <f t="shared" si="1"/>
        <v>0.14091750218079224</v>
      </c>
      <c r="H19" s="66">
        <f t="shared" si="2"/>
        <v>-0.010089096852765848</v>
      </c>
      <c r="I19" s="66">
        <f t="shared" si="3"/>
        <v>0.010874959184313493</v>
      </c>
    </row>
    <row r="20" spans="1:9" ht="12.75">
      <c r="A20" s="21">
        <v>1999</v>
      </c>
      <c r="B20" s="62">
        <v>86173</v>
      </c>
      <c r="C20" s="62">
        <v>218</v>
      </c>
      <c r="D20" s="62">
        <v>0</v>
      </c>
      <c r="E20" s="43">
        <f t="shared" si="4"/>
        <v>86391</v>
      </c>
      <c r="F20" s="62">
        <v>583485</v>
      </c>
      <c r="G20" s="66">
        <f t="shared" si="1"/>
        <v>0.14806036144888043</v>
      </c>
      <c r="H20" s="66">
        <f t="shared" si="2"/>
        <v>0.1187935455463752</v>
      </c>
      <c r="I20" s="66">
        <f t="shared" si="3"/>
        <v>0.06481971509181227</v>
      </c>
    </row>
    <row r="21" spans="1:9" ht="12.75">
      <c r="A21" s="195">
        <v>2000</v>
      </c>
      <c r="B21" s="193">
        <v>87308.466</v>
      </c>
      <c r="C21" s="193">
        <v>382.028</v>
      </c>
      <c r="D21" s="193">
        <v>15.326</v>
      </c>
      <c r="E21" s="192">
        <f t="shared" si="4"/>
        <v>87705.82</v>
      </c>
      <c r="F21" s="193">
        <v>607520.286</v>
      </c>
      <c r="G21" s="194">
        <f t="shared" si="1"/>
        <v>0.14436689937955424</v>
      </c>
      <c r="H21" s="66">
        <f t="shared" si="2"/>
        <v>0.015219409429223032</v>
      </c>
      <c r="I21" s="66">
        <f t="shared" si="3"/>
        <v>0.04119263734286222</v>
      </c>
    </row>
    <row r="22" spans="1:9" ht="12.75">
      <c r="A22" s="21">
        <v>2001</v>
      </c>
      <c r="B22" s="62">
        <v>76965.635</v>
      </c>
      <c r="C22" s="62">
        <v>172.519</v>
      </c>
      <c r="D22" s="62">
        <v>6.703</v>
      </c>
      <c r="E22" s="43">
        <f t="shared" si="4"/>
        <v>77144.85699999999</v>
      </c>
      <c r="F22" s="62">
        <v>577031.488</v>
      </c>
      <c r="G22" s="66">
        <f t="shared" si="1"/>
        <v>0.1336926296126148</v>
      </c>
      <c r="H22" s="66">
        <f t="shared" si="2"/>
        <v>-0.12041347997202485</v>
      </c>
      <c r="I22" s="66">
        <f t="shared" si="3"/>
        <v>-0.05018564598186925</v>
      </c>
    </row>
    <row r="23" spans="1:9" ht="12.75">
      <c r="A23" s="195">
        <v>2002</v>
      </c>
      <c r="B23" s="193">
        <v>75217.386</v>
      </c>
      <c r="C23" s="193">
        <v>490.701</v>
      </c>
      <c r="D23" s="193">
        <v>8.298</v>
      </c>
      <c r="E23" s="192">
        <f t="shared" si="4"/>
        <v>75716.385</v>
      </c>
      <c r="F23" s="193">
        <v>574066.012</v>
      </c>
      <c r="G23" s="194">
        <f t="shared" si="1"/>
        <v>0.13189491002299575</v>
      </c>
      <c r="H23" s="66">
        <f t="shared" si="2"/>
        <v>-0.018516749600041314</v>
      </c>
      <c r="I23" s="66">
        <f t="shared" si="3"/>
        <v>-0.0051391926812840135</v>
      </c>
    </row>
    <row r="24" spans="1:9" ht="12.75">
      <c r="A24" s="21">
        <v>2003</v>
      </c>
      <c r="B24" s="62">
        <v>70115.655</v>
      </c>
      <c r="C24" s="62">
        <v>283.03</v>
      </c>
      <c r="D24" s="62">
        <v>4.285</v>
      </c>
      <c r="E24" s="43">
        <f t="shared" si="4"/>
        <v>70402.97</v>
      </c>
      <c r="F24" s="62">
        <v>576835.373</v>
      </c>
      <c r="G24" s="66">
        <f t="shared" si="1"/>
        <v>0.12205036878000199</v>
      </c>
      <c r="H24" s="66">
        <f t="shared" si="2"/>
        <v>-0.07017523353762853</v>
      </c>
      <c r="I24" s="66">
        <f t="shared" si="3"/>
        <v>0.0048241159415653295</v>
      </c>
    </row>
    <row r="25" spans="1:9" ht="12.75">
      <c r="A25" s="195">
        <v>2004</v>
      </c>
      <c r="B25" s="193">
        <v>81908.416</v>
      </c>
      <c r="C25" s="193">
        <v>142.773</v>
      </c>
      <c r="D25" s="193">
        <v>11.208</v>
      </c>
      <c r="E25" s="192">
        <f t="shared" si="4"/>
        <v>82062.397</v>
      </c>
      <c r="F25" s="193">
        <v>629396.407</v>
      </c>
      <c r="G25" s="194">
        <f t="shared" si="1"/>
        <v>0.13038269060217245</v>
      </c>
      <c r="H25" s="66">
        <f t="shared" si="2"/>
        <v>0.16560987412888967</v>
      </c>
      <c r="I25" s="66">
        <f t="shared" si="3"/>
        <v>0.09111964428714045</v>
      </c>
    </row>
    <row r="26" spans="1:9" ht="12.75">
      <c r="A26" s="21">
        <v>2005</v>
      </c>
      <c r="B26" s="62">
        <v>90239.415</v>
      </c>
      <c r="C26" s="62">
        <v>239.022</v>
      </c>
      <c r="D26" s="62">
        <v>16.313</v>
      </c>
      <c r="E26" s="43">
        <f t="shared" si="4"/>
        <v>90494.74999999999</v>
      </c>
      <c r="F26" s="62">
        <v>610144.569</v>
      </c>
      <c r="G26" s="66">
        <f t="shared" si="1"/>
        <v>0.14831689831856879</v>
      </c>
      <c r="H26" s="66">
        <f t="shared" si="2"/>
        <v>0.10275538259015257</v>
      </c>
      <c r="I26" s="66">
        <f t="shared" si="3"/>
        <v>-0.03058777868110707</v>
      </c>
    </row>
    <row r="27" spans="1:9" ht="12.75">
      <c r="A27" s="195">
        <v>2006</v>
      </c>
      <c r="B27" s="193">
        <v>93403.791</v>
      </c>
      <c r="C27" s="193">
        <v>484.407</v>
      </c>
      <c r="D27" s="193">
        <v>5.931</v>
      </c>
      <c r="E27" s="192">
        <f t="shared" si="4"/>
        <v>93894.129</v>
      </c>
      <c r="F27" s="193">
        <v>613602.37</v>
      </c>
      <c r="G27" s="194">
        <f t="shared" si="1"/>
        <v>0.15302113158396047</v>
      </c>
      <c r="H27" s="66">
        <f aca="true" t="shared" si="5" ref="H27:I29">(E27-E26)/E26</f>
        <v>0.03756437804403035</v>
      </c>
      <c r="I27" s="66">
        <f t="shared" si="5"/>
        <v>0.005667183116400037</v>
      </c>
    </row>
    <row r="28" spans="1:9" ht="12.75">
      <c r="A28" s="21">
        <v>2007</v>
      </c>
      <c r="B28" s="62">
        <v>96785.978</v>
      </c>
      <c r="C28" s="62">
        <v>234.18</v>
      </c>
      <c r="D28" s="62">
        <v>11.213</v>
      </c>
      <c r="E28" s="43">
        <f t="shared" si="4"/>
        <v>97031.371</v>
      </c>
      <c r="F28" s="62">
        <v>627330.375</v>
      </c>
      <c r="G28" s="66">
        <f t="shared" si="1"/>
        <v>0.15467347806966944</v>
      </c>
      <c r="H28" s="66">
        <f t="shared" si="5"/>
        <v>0.0334125470187811</v>
      </c>
      <c r="I28" s="66">
        <f t="shared" si="5"/>
        <v>0.02237280309070515</v>
      </c>
    </row>
    <row r="29" spans="1:9" ht="12.75">
      <c r="A29" s="195">
        <v>2008</v>
      </c>
      <c r="B29" s="193">
        <v>103996</v>
      </c>
      <c r="C29" s="193">
        <v>184.127</v>
      </c>
      <c r="D29" s="193">
        <v>119.848</v>
      </c>
      <c r="E29" s="192">
        <f t="shared" si="4"/>
        <v>104299.97499999999</v>
      </c>
      <c r="F29" s="193">
        <v>629635</v>
      </c>
      <c r="G29" s="194">
        <f t="shared" si="1"/>
        <v>0.16565148856083284</v>
      </c>
      <c r="H29" s="66">
        <f t="shared" si="5"/>
        <v>0.07490983508828286</v>
      </c>
      <c r="I29" s="66">
        <f t="shared" si="5"/>
        <v>0.0036737022338508636</v>
      </c>
    </row>
    <row r="30" spans="1:9" ht="12.75">
      <c r="A30" s="21">
        <v>2009</v>
      </c>
      <c r="B30" s="62">
        <v>89812</v>
      </c>
      <c r="C30" s="62">
        <v>71</v>
      </c>
      <c r="D30" s="62">
        <v>9</v>
      </c>
      <c r="E30" s="43">
        <f t="shared" si="4"/>
        <v>89892</v>
      </c>
      <c r="F30" s="62">
        <v>564734</v>
      </c>
      <c r="G30" s="66">
        <f t="shared" si="1"/>
        <v>0.15917582437041156</v>
      </c>
      <c r="H30" s="66">
        <f>(E30-E29)/E29</f>
        <v>-0.13813977424251533</v>
      </c>
      <c r="I30" s="66">
        <f>(F30-F29)/F29</f>
        <v>-0.10307717963582075</v>
      </c>
    </row>
    <row r="31" spans="1:9" ht="12.75">
      <c r="A31" s="195">
        <v>2010</v>
      </c>
      <c r="B31" s="193">
        <v>104279</v>
      </c>
      <c r="C31" s="193">
        <v>63</v>
      </c>
      <c r="D31" s="193">
        <v>245</v>
      </c>
      <c r="E31" s="192">
        <f t="shared" si="4"/>
        <v>104587</v>
      </c>
      <c r="F31" s="193">
        <v>652146</v>
      </c>
      <c r="G31" s="194">
        <f t="shared" si="1"/>
        <v>0.16037359732329878</v>
      </c>
      <c r="H31" s="66">
        <f>(E31-E30)/E30</f>
        <v>0.1634739465135941</v>
      </c>
      <c r="I31" s="66">
        <f>(F31-F30)/F30</f>
        <v>0.15478437636126036</v>
      </c>
    </row>
    <row r="32" spans="1:9" ht="12.75">
      <c r="A32" s="21">
        <v>2011</v>
      </c>
      <c r="B32" s="62">
        <v>96572.859</v>
      </c>
      <c r="C32" s="62">
        <v>62.495</v>
      </c>
      <c r="D32" s="62">
        <v>34.818</v>
      </c>
      <c r="E32" s="43">
        <f t="shared" si="4"/>
        <v>96670.17199999999</v>
      </c>
      <c r="F32" s="62">
        <v>672146.043</v>
      </c>
      <c r="G32" s="66">
        <f t="shared" si="1"/>
        <v>0.1438231661210568</v>
      </c>
      <c r="H32" s="66"/>
      <c r="I32" s="66"/>
    </row>
    <row r="33" spans="1:9" ht="12.75">
      <c r="A33" s="195">
        <v>2012</v>
      </c>
      <c r="B33" s="193">
        <v>100347</v>
      </c>
      <c r="C33" s="193">
        <v>135</v>
      </c>
      <c r="D33" s="193">
        <v>14</v>
      </c>
      <c r="E33" s="192">
        <f t="shared" si="4"/>
        <v>100496</v>
      </c>
      <c r="F33" s="193">
        <v>661974</v>
      </c>
      <c r="G33" s="194">
        <f t="shared" si="1"/>
        <v>0.15181260895443024</v>
      </c>
      <c r="H33" s="66"/>
      <c r="I33" s="66"/>
    </row>
    <row r="34" spans="1:9" ht="12.75">
      <c r="A34" s="21">
        <v>2013</v>
      </c>
      <c r="B34" s="62">
        <v>100297</v>
      </c>
      <c r="C34" s="62">
        <v>45</v>
      </c>
      <c r="D34" s="62">
        <v>0.06</v>
      </c>
      <c r="E34" s="43">
        <f t="shared" si="4"/>
        <v>100342.06</v>
      </c>
      <c r="F34" s="62">
        <v>638087</v>
      </c>
      <c r="G34" s="66">
        <f t="shared" si="1"/>
        <v>0.1572545123157187</v>
      </c>
      <c r="H34" s="66"/>
      <c r="I34" s="66"/>
    </row>
    <row r="35" spans="1:9" ht="12.75">
      <c r="A35" s="195">
        <v>2014</v>
      </c>
      <c r="B35" s="193">
        <v>102692.826</v>
      </c>
      <c r="C35" s="193">
        <v>90.364</v>
      </c>
      <c r="D35" s="193">
        <v>0.7</v>
      </c>
      <c r="E35" s="192">
        <f t="shared" si="4"/>
        <v>102783.89</v>
      </c>
      <c r="F35" s="193">
        <v>685209.274</v>
      </c>
      <c r="G35" s="194">
        <f t="shared" si="1"/>
        <v>0.15000364691502993</v>
      </c>
      <c r="H35" s="66"/>
      <c r="I35" s="66"/>
    </row>
    <row r="36" spans="1:9" ht="12.75">
      <c r="A36" s="21">
        <v>2015</v>
      </c>
      <c r="B36" s="62">
        <v>117219.382</v>
      </c>
      <c r="C36" s="62">
        <v>96.168</v>
      </c>
      <c r="D36" s="62">
        <v>0.01</v>
      </c>
      <c r="E36" s="43">
        <f t="shared" si="4"/>
        <v>117315.56</v>
      </c>
      <c r="F36" s="62">
        <v>715552.111</v>
      </c>
      <c r="G36" s="66">
        <f t="shared" si="1"/>
        <v>0.16395110600127905</v>
      </c>
      <c r="H36" s="66"/>
      <c r="I36" s="66"/>
    </row>
    <row r="37" spans="1:9" ht="12.75">
      <c r="A37" s="195">
        <v>2016</v>
      </c>
      <c r="B37" s="193">
        <v>132754.964</v>
      </c>
      <c r="C37" s="193">
        <v>51.364</v>
      </c>
      <c r="D37" s="193">
        <v>0</v>
      </c>
      <c r="E37" s="192">
        <f t="shared" si="4"/>
        <v>132806.328</v>
      </c>
      <c r="F37" s="193">
        <v>795575.212</v>
      </c>
      <c r="G37" s="194">
        <f t="shared" si="1"/>
        <v>0.1669312039852745</v>
      </c>
      <c r="H37" s="66"/>
      <c r="I37" s="66"/>
    </row>
    <row r="38" spans="1:9" ht="12.75">
      <c r="A38" s="266">
        <v>2017</v>
      </c>
      <c r="B38" s="144">
        <v>156105.304</v>
      </c>
      <c r="C38" s="144">
        <v>125.501</v>
      </c>
      <c r="D38" s="144">
        <v>0</v>
      </c>
      <c r="E38" s="267">
        <f t="shared" si="4"/>
        <v>156230.805</v>
      </c>
      <c r="F38" s="144">
        <v>918305.644</v>
      </c>
      <c r="G38" s="268">
        <f t="shared" si="1"/>
        <v>0.17012941826153036</v>
      </c>
      <c r="H38" s="66"/>
      <c r="I38" s="66"/>
    </row>
    <row r="39" spans="1:9" ht="12.75">
      <c r="A39" s="195">
        <v>2018</v>
      </c>
      <c r="B39" s="193">
        <v>172939.998</v>
      </c>
      <c r="C39" s="193">
        <v>132.962</v>
      </c>
      <c r="D39" s="193">
        <v>0</v>
      </c>
      <c r="E39" s="192">
        <f>SUM(B39:D39)</f>
        <v>173072.96</v>
      </c>
      <c r="F39" s="193">
        <v>1010873.428</v>
      </c>
      <c r="G39" s="194">
        <f t="shared" si="1"/>
        <v>0.171211306189364</v>
      </c>
      <c r="H39" s="66"/>
      <c r="I39" s="66"/>
    </row>
    <row r="40" spans="1:9" ht="12.75">
      <c r="A40" s="40"/>
      <c r="B40" s="37"/>
      <c r="C40" s="39"/>
      <c r="D40" s="39"/>
      <c r="E40" s="39"/>
      <c r="F40" s="39"/>
      <c r="G40" s="39"/>
      <c r="H40" s="39"/>
      <c r="I40" s="39"/>
    </row>
    <row r="41" spans="1:9" ht="15" customHeight="1">
      <c r="A41" s="160" t="s">
        <v>77</v>
      </c>
      <c r="B41" s="31"/>
      <c r="C41" s="19"/>
      <c r="D41" s="19"/>
      <c r="E41" s="19"/>
      <c r="F41" s="19"/>
      <c r="G41" s="20"/>
      <c r="H41" s="19"/>
      <c r="I41" s="19"/>
    </row>
  </sheetData>
  <sheetProtection/>
  <printOptions/>
  <pageMargins left="0.42" right="0.75" top="0.5511811023622047" bottom="0" header="0" footer="0"/>
  <pageSetup horizontalDpi="600" verticalDpi="600" orientation="portrait" paperSize="9" r:id="rId1"/>
  <ignoredErrors>
    <ignoredError sqref="E8:F31 E32:E3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PageLayoutView="0" workbookViewId="0" topLeftCell="A1">
      <selection activeCell="K45" sqref="K45"/>
    </sheetView>
  </sheetViews>
  <sheetFormatPr defaultColWidth="11.421875" defaultRowHeight="12.75"/>
  <cols>
    <col min="1" max="4" width="8.7109375" style="0" customWidth="1"/>
    <col min="5" max="5" width="1.7109375" style="0" customWidth="1"/>
    <col min="6" max="6" width="9.7109375" style="0" customWidth="1"/>
    <col min="7" max="7" width="10.28125" style="0" customWidth="1"/>
    <col min="8" max="8" width="10.7109375" style="0" customWidth="1"/>
    <col min="9" max="9" width="1.7109375" style="0" customWidth="1"/>
    <col min="10" max="12" width="8.7109375" style="0" customWidth="1"/>
  </cols>
  <sheetData>
    <row r="1" spans="1:12" ht="15">
      <c r="A1" s="1" t="s">
        <v>243</v>
      </c>
      <c r="B1" s="2"/>
      <c r="C1" s="2"/>
      <c r="D1" s="2"/>
      <c r="E1" s="3"/>
      <c r="F1" s="2"/>
      <c r="G1" s="2"/>
      <c r="H1" s="2"/>
      <c r="I1" s="3"/>
      <c r="J1" s="2"/>
      <c r="K1" s="2"/>
      <c r="L1" s="2"/>
    </row>
    <row r="2" spans="1:12" ht="15">
      <c r="A2" s="1"/>
      <c r="B2" s="2"/>
      <c r="C2" s="2"/>
      <c r="D2" s="2"/>
      <c r="E2" s="3"/>
      <c r="F2" s="2"/>
      <c r="G2" s="2"/>
      <c r="H2" s="2"/>
      <c r="I2" s="3"/>
      <c r="J2" s="2"/>
      <c r="K2" s="2"/>
      <c r="L2" s="2"/>
    </row>
    <row r="3" spans="1:12" ht="12.75">
      <c r="A3" s="36"/>
      <c r="B3" s="18"/>
      <c r="C3" s="18"/>
      <c r="D3" s="18"/>
      <c r="E3" s="19"/>
      <c r="F3" s="18"/>
      <c r="G3" s="18"/>
      <c r="H3" s="18"/>
      <c r="I3" s="19"/>
      <c r="J3" s="18"/>
      <c r="K3" s="18"/>
      <c r="L3" s="18"/>
    </row>
    <row r="4" spans="1:12" ht="12.75">
      <c r="A4" s="196"/>
      <c r="B4" s="197" t="s">
        <v>0</v>
      </c>
      <c r="C4" s="197"/>
      <c r="D4" s="197"/>
      <c r="E4" s="198"/>
      <c r="F4" s="197" t="s">
        <v>7</v>
      </c>
      <c r="G4" s="197"/>
      <c r="H4" s="197"/>
      <c r="I4" s="198"/>
      <c r="J4" s="197" t="s">
        <v>10</v>
      </c>
      <c r="K4" s="197"/>
      <c r="L4" s="197"/>
    </row>
    <row r="5" spans="1:12" ht="12.75">
      <c r="A5" s="199"/>
      <c r="B5" s="200" t="s">
        <v>11</v>
      </c>
      <c r="C5" s="200" t="s">
        <v>12</v>
      </c>
      <c r="D5" s="200"/>
      <c r="E5" s="201"/>
      <c r="F5" s="200" t="s">
        <v>11</v>
      </c>
      <c r="G5" s="200" t="s">
        <v>12</v>
      </c>
      <c r="H5" s="200"/>
      <c r="I5" s="201"/>
      <c r="J5" s="200" t="s">
        <v>11</v>
      </c>
      <c r="K5" s="200" t="s">
        <v>12</v>
      </c>
      <c r="L5" s="200"/>
    </row>
    <row r="6" spans="1:12" ht="12.75">
      <c r="A6" s="189"/>
      <c r="B6" s="185" t="s">
        <v>13</v>
      </c>
      <c r="C6" s="185" t="s">
        <v>13</v>
      </c>
      <c r="D6" s="185" t="s">
        <v>1</v>
      </c>
      <c r="E6" s="187"/>
      <c r="F6" s="185" t="s">
        <v>13</v>
      </c>
      <c r="G6" s="185" t="s">
        <v>13</v>
      </c>
      <c r="H6" s="185" t="s">
        <v>1</v>
      </c>
      <c r="I6" s="187"/>
      <c r="J6" s="185" t="s">
        <v>13</v>
      </c>
      <c r="K6" s="185" t="s">
        <v>13</v>
      </c>
      <c r="L6" s="185" t="s">
        <v>1</v>
      </c>
    </row>
    <row r="7" spans="1:12" ht="12.75">
      <c r="A7" s="17"/>
      <c r="B7" s="31"/>
      <c r="C7" s="31"/>
      <c r="D7" s="31"/>
      <c r="E7" s="43"/>
      <c r="F7" s="31"/>
      <c r="G7" s="31"/>
      <c r="H7" s="31"/>
      <c r="I7" s="43"/>
      <c r="J7" s="31"/>
      <c r="K7" s="31"/>
      <c r="L7" s="31"/>
    </row>
    <row r="8" spans="1:12" ht="12.75">
      <c r="A8" s="21">
        <v>1986</v>
      </c>
      <c r="B8" s="42">
        <v>67630</v>
      </c>
      <c r="C8" s="42">
        <v>6876</v>
      </c>
      <c r="D8" s="42">
        <v>74506</v>
      </c>
      <c r="E8" s="62"/>
      <c r="F8" s="42">
        <v>5650423</v>
      </c>
      <c r="G8" s="42">
        <v>446994</v>
      </c>
      <c r="H8" s="42">
        <v>6097417</v>
      </c>
      <c r="I8" s="62"/>
      <c r="J8" s="42">
        <v>46410</v>
      </c>
      <c r="K8" s="42">
        <v>644</v>
      </c>
      <c r="L8" s="42">
        <v>47054</v>
      </c>
    </row>
    <row r="9" spans="1:12" ht="12.75">
      <c r="A9" s="195">
        <v>1987</v>
      </c>
      <c r="B9" s="191">
        <f>'6.12.5'!B9+'6.12.8'!B9+'6.12.9'!B9</f>
        <v>70894</v>
      </c>
      <c r="C9" s="191">
        <f>'6.12.5'!C9+'6.12.8'!C9+'6.12.9'!C9</f>
        <v>14070</v>
      </c>
      <c r="D9" s="191">
        <f aca="true" t="shared" si="0" ref="D9:D26">SUM(B9:C9)</f>
        <v>84964</v>
      </c>
      <c r="E9" s="193"/>
      <c r="F9" s="191">
        <f>'6.12.5'!F9+'6.12.8'!F9+'6.12.9'!F9</f>
        <v>6299195</v>
      </c>
      <c r="G9" s="191">
        <f>'6.12.5'!G9+'6.12.8'!G9+'6.12.9'!G9</f>
        <v>1476320</v>
      </c>
      <c r="H9" s="191">
        <f aca="true" t="shared" si="1" ref="H9:H26">SUM(F9:G9)</f>
        <v>7775515</v>
      </c>
      <c r="I9" s="193"/>
      <c r="J9" s="191">
        <f>'6.12.5'!J9+'6.12.8'!J9+'6.12.9'!J9</f>
        <v>43699</v>
      </c>
      <c r="K9" s="191">
        <f>'6.12.5'!K9+'6.12.8'!K9+'6.12.9'!K9</f>
        <v>1357</v>
      </c>
      <c r="L9" s="191">
        <f aca="true" t="shared" si="2" ref="L9:L26">SUM(J9:K9)</f>
        <v>45056</v>
      </c>
    </row>
    <row r="10" spans="1:12" ht="12.75">
      <c r="A10" s="21">
        <v>1988</v>
      </c>
      <c r="B10" s="42">
        <f>'6.12.5'!B10+'6.12.8'!B10+'6.12.9'!B10</f>
        <v>82432</v>
      </c>
      <c r="C10" s="42">
        <f>'6.12.5'!C10+'6.12.8'!C10+'6.12.9'!C10</f>
        <v>21817</v>
      </c>
      <c r="D10" s="42">
        <f t="shared" si="0"/>
        <v>104249</v>
      </c>
      <c r="E10" s="62"/>
      <c r="F10" s="42">
        <f>'6.12.5'!F10+'6.12.8'!F10+'6.12.9'!F10</f>
        <v>6817873</v>
      </c>
      <c r="G10" s="42">
        <f>'6.12.5'!G10+'6.12.8'!G10+'6.12.9'!G10</f>
        <v>1532751</v>
      </c>
      <c r="H10" s="42">
        <f t="shared" si="1"/>
        <v>8350624</v>
      </c>
      <c r="I10" s="62"/>
      <c r="J10" s="42">
        <f>'6.12.5'!J10+'6.12.8'!J10+'6.12.9'!J10</f>
        <v>51137</v>
      </c>
      <c r="K10" s="42">
        <f>'6.12.5'!K10+'6.12.8'!K10+'6.12.9'!K10</f>
        <v>4505</v>
      </c>
      <c r="L10" s="42">
        <f t="shared" si="2"/>
        <v>55642</v>
      </c>
    </row>
    <row r="11" spans="1:12" ht="12.75">
      <c r="A11" s="195">
        <v>1989</v>
      </c>
      <c r="B11" s="191">
        <f>'6.12.5'!B11+'6.12.8'!B11+'6.12.9'!B11</f>
        <v>92819</v>
      </c>
      <c r="C11" s="191">
        <f>'6.12.5'!C11+'6.12.8'!C11+'6.12.9'!C11</f>
        <v>19948</v>
      </c>
      <c r="D11" s="191">
        <f t="shared" si="0"/>
        <v>112767</v>
      </c>
      <c r="E11" s="193"/>
      <c r="F11" s="191">
        <f>'6.12.5'!F11+'6.12.8'!F11+'6.12.9'!F11</f>
        <v>7567000</v>
      </c>
      <c r="G11" s="191">
        <f>'6.12.5'!G11+'6.12.8'!G11+'6.12.9'!G11</f>
        <v>1472473</v>
      </c>
      <c r="H11" s="191">
        <f t="shared" si="1"/>
        <v>9039473</v>
      </c>
      <c r="I11" s="193"/>
      <c r="J11" s="191">
        <f>'6.12.5'!J11+'6.12.8'!J11+'6.12.9'!J11</f>
        <v>59039</v>
      </c>
      <c r="K11" s="191">
        <f>'6.12.5'!K11+'6.12.8'!K11+'6.12.9'!K11</f>
        <v>2283</v>
      </c>
      <c r="L11" s="191">
        <f t="shared" si="2"/>
        <v>61322</v>
      </c>
    </row>
    <row r="12" spans="1:12" ht="12.75">
      <c r="A12" s="21">
        <v>1990</v>
      </c>
      <c r="B12" s="42">
        <f>'6.12.5'!B12+'6.12.8'!B12+'6.12.9'!B12</f>
        <v>104719</v>
      </c>
      <c r="C12" s="42">
        <f>'6.12.5'!C12+'6.12.8'!C12+'6.12.9'!C12</f>
        <v>17390</v>
      </c>
      <c r="D12" s="42">
        <f t="shared" si="0"/>
        <v>122109</v>
      </c>
      <c r="E12" s="62"/>
      <c r="F12" s="42">
        <f>'6.12.5'!F12+'6.12.8'!F12+'6.12.9'!F12</f>
        <v>8367482</v>
      </c>
      <c r="G12" s="42">
        <f>'6.12.5'!G12+'6.12.8'!G12+'6.12.9'!G12</f>
        <v>1165004</v>
      </c>
      <c r="H12" s="42">
        <f t="shared" si="1"/>
        <v>9532486</v>
      </c>
      <c r="I12" s="62"/>
      <c r="J12" s="42">
        <f>'6.12.5'!J12+'6.12.8'!J12+'6.12.9'!J12</f>
        <v>63039</v>
      </c>
      <c r="K12" s="42">
        <f>'6.12.5'!K12+'6.12.8'!K12+'6.12.9'!K12</f>
        <v>2990</v>
      </c>
      <c r="L12" s="42">
        <f t="shared" si="2"/>
        <v>66029</v>
      </c>
    </row>
    <row r="13" spans="1:12" ht="12.75">
      <c r="A13" s="195">
        <v>1991</v>
      </c>
      <c r="B13" s="191">
        <f>'6.12.5'!B13+'6.12.8'!B13+'6.12.9'!B13</f>
        <v>111907</v>
      </c>
      <c r="C13" s="191">
        <f>'6.12.5'!C13+'6.12.8'!C13+'6.12.9'!C13</f>
        <v>14481</v>
      </c>
      <c r="D13" s="191">
        <f t="shared" si="0"/>
        <v>126388</v>
      </c>
      <c r="E13" s="193"/>
      <c r="F13" s="191">
        <f>'6.12.5'!F13+'6.12.8'!F13+'6.12.9'!F13</f>
        <v>8204568</v>
      </c>
      <c r="G13" s="191">
        <f>'6.12.5'!G13+'6.12.8'!G13+'6.12.9'!G13</f>
        <v>1131984</v>
      </c>
      <c r="H13" s="191">
        <f t="shared" si="1"/>
        <v>9336552</v>
      </c>
      <c r="I13" s="193"/>
      <c r="J13" s="191">
        <f>'6.12.5'!J13+'6.12.8'!J13+'6.12.9'!J13</f>
        <v>61947</v>
      </c>
      <c r="K13" s="191">
        <f>'6.12.5'!K13+'6.12.8'!K13+'6.12.9'!K13</f>
        <v>739</v>
      </c>
      <c r="L13" s="191">
        <f t="shared" si="2"/>
        <v>62686</v>
      </c>
    </row>
    <row r="14" spans="1:12" ht="12.75">
      <c r="A14" s="21">
        <v>1992</v>
      </c>
      <c r="B14" s="42">
        <f>'6.12.5'!B14+'6.12.8'!B14+'6.12.9'!B14</f>
        <v>125058</v>
      </c>
      <c r="C14" s="42">
        <f>'6.12.5'!C14+'6.12.8'!C14+'6.12.9'!C14</f>
        <v>14337</v>
      </c>
      <c r="D14" s="42">
        <f t="shared" si="0"/>
        <v>139395</v>
      </c>
      <c r="E14" s="62"/>
      <c r="F14" s="42">
        <f>'6.12.5'!F14+'6.12.8'!F14+'6.12.9'!F14</f>
        <v>9287415</v>
      </c>
      <c r="G14" s="42">
        <f>'6.12.5'!G14+'6.12.8'!G14+'6.12.9'!G14</f>
        <v>1135746</v>
      </c>
      <c r="H14" s="42">
        <f t="shared" si="1"/>
        <v>10423161</v>
      </c>
      <c r="I14" s="62"/>
      <c r="J14" s="42">
        <f>'6.12.5'!J14+'6.12.8'!J14+'6.12.9'!J14</f>
        <v>70531</v>
      </c>
      <c r="K14" s="42">
        <f>'6.12.5'!K14+'6.12.8'!K14+'6.12.9'!K14</f>
        <v>2093</v>
      </c>
      <c r="L14" s="42">
        <f t="shared" si="2"/>
        <v>72624</v>
      </c>
    </row>
    <row r="15" spans="1:12" ht="12.75">
      <c r="A15" s="195">
        <v>1993</v>
      </c>
      <c r="B15" s="191">
        <f>'6.12.5'!B15+'6.12.8'!B15+'6.12.9'!B15</f>
        <v>122516</v>
      </c>
      <c r="C15" s="191">
        <f>'6.12.5'!C15+'6.12.8'!C15+'6.12.9'!C15</f>
        <v>13970</v>
      </c>
      <c r="D15" s="191">
        <f t="shared" si="0"/>
        <v>136486</v>
      </c>
      <c r="E15" s="193"/>
      <c r="F15" s="191">
        <f>'6.12.5'!F15+'6.12.8'!F15+'6.12.9'!F15</f>
        <v>8979546</v>
      </c>
      <c r="G15" s="191">
        <f>'6.12.5'!G15+'6.12.8'!G15+'6.12.9'!G15</f>
        <v>1033787</v>
      </c>
      <c r="H15" s="191">
        <f t="shared" si="1"/>
        <v>10013333</v>
      </c>
      <c r="I15" s="193"/>
      <c r="J15" s="191">
        <f>'6.12.5'!J15+'6.12.8'!J15+'6.12.9'!J15</f>
        <v>55639</v>
      </c>
      <c r="K15" s="191">
        <f>'6.12.5'!K15+'6.12.8'!K15+'6.12.9'!K15</f>
        <v>1935</v>
      </c>
      <c r="L15" s="191">
        <f t="shared" si="2"/>
        <v>57574</v>
      </c>
    </row>
    <row r="16" spans="1:12" ht="12.75">
      <c r="A16" s="21">
        <v>1994</v>
      </c>
      <c r="B16" s="42">
        <f>'6.12.5'!B16+'6.12.8'!B16+'6.12.9'!B16</f>
        <v>126100</v>
      </c>
      <c r="C16" s="42">
        <f>'6.12.5'!C16+'6.12.8'!C16+'6.12.9'!C16</f>
        <v>20578</v>
      </c>
      <c r="D16" s="42">
        <f t="shared" si="0"/>
        <v>146678</v>
      </c>
      <c r="E16" s="62"/>
      <c r="F16" s="42">
        <f>'6.12.5'!F16+'6.12.8'!F16+'6.12.9'!F16</f>
        <v>9653841</v>
      </c>
      <c r="G16" s="42">
        <f>'6.12.5'!G16+'6.12.8'!G16+'6.12.9'!G16</f>
        <v>1331493</v>
      </c>
      <c r="H16" s="42">
        <f t="shared" si="1"/>
        <v>10985334</v>
      </c>
      <c r="I16" s="62"/>
      <c r="J16" s="42">
        <f>'6.12.5'!J16+'6.12.8'!J16+'6.12.9'!J16</f>
        <v>47810.464</v>
      </c>
      <c r="K16" s="42">
        <f>'6.12.5'!K16+'6.12.8'!K16+'6.12.9'!K16</f>
        <v>11113.682</v>
      </c>
      <c r="L16" s="42">
        <f t="shared" si="2"/>
        <v>58924.146</v>
      </c>
    </row>
    <row r="17" spans="1:12" ht="12.75">
      <c r="A17" s="195">
        <v>1995</v>
      </c>
      <c r="B17" s="191">
        <f>'6.12.5'!B17+'6.12.8'!B17+'6.12.9'!B17</f>
        <v>136805</v>
      </c>
      <c r="C17" s="191">
        <f>'6.12.5'!C17+'6.12.8'!C17+'6.12.9'!C17</f>
        <v>22971</v>
      </c>
      <c r="D17" s="191">
        <f t="shared" si="0"/>
        <v>159776</v>
      </c>
      <c r="E17" s="193"/>
      <c r="F17" s="191">
        <f>'6.12.5'!F17+'6.12.8'!F17+'6.12.9'!F17</f>
        <v>10805362</v>
      </c>
      <c r="G17" s="191">
        <f>'6.12.5'!G17+'6.12.8'!G17+'6.12.9'!G17</f>
        <v>1507147</v>
      </c>
      <c r="H17" s="191">
        <f t="shared" si="1"/>
        <v>12312509</v>
      </c>
      <c r="I17" s="193"/>
      <c r="J17" s="191">
        <f>'6.12.5'!J17+'6.12.8'!J17+'6.12.9'!J17</f>
        <v>54946.885</v>
      </c>
      <c r="K17" s="191">
        <f>'6.12.5'!K17+'6.12.8'!K17+'6.12.9'!K17</f>
        <v>13582.666</v>
      </c>
      <c r="L17" s="191">
        <f t="shared" si="2"/>
        <v>68529.551</v>
      </c>
    </row>
    <row r="18" spans="1:12" ht="12.75">
      <c r="A18" s="21">
        <v>1996</v>
      </c>
      <c r="B18" s="42">
        <f>'6.12.5'!B18+'6.12.8'!B18+'6.12.9'!B18</f>
        <v>159234</v>
      </c>
      <c r="C18" s="42">
        <f>'6.12.5'!C18+'6.12.8'!C18+'6.12.9'!C18</f>
        <v>24482</v>
      </c>
      <c r="D18" s="42">
        <f t="shared" si="0"/>
        <v>183716</v>
      </c>
      <c r="E18" s="62"/>
      <c r="F18" s="42">
        <f>'6.12.5'!F18+'6.12.8'!F18+'6.12.9'!F18</f>
        <v>12276303</v>
      </c>
      <c r="G18" s="42">
        <f>'6.12.5'!G18+'6.12.8'!G18+'6.12.9'!G18</f>
        <v>1547784</v>
      </c>
      <c r="H18" s="42">
        <f t="shared" si="1"/>
        <v>13824087</v>
      </c>
      <c r="I18" s="62"/>
      <c r="J18" s="42">
        <f>'6.12.5'!J18+'6.12.8'!J18+'6.12.9'!J18</f>
        <v>59966</v>
      </c>
      <c r="K18" s="42">
        <f>'6.12.5'!K18+'6.12.8'!K18+'6.12.9'!K18</f>
        <v>16761</v>
      </c>
      <c r="L18" s="42">
        <f t="shared" si="2"/>
        <v>76727</v>
      </c>
    </row>
    <row r="19" spans="1:12" ht="12.75">
      <c r="A19" s="195">
        <v>1997</v>
      </c>
      <c r="B19" s="191">
        <f>'6.12.5'!B19+'6.12.8'!B19+'6.12.9'!B19</f>
        <v>186039</v>
      </c>
      <c r="C19" s="191">
        <f>'6.12.5'!C19+'6.12.8'!C19+'6.12.9'!C19</f>
        <v>28857</v>
      </c>
      <c r="D19" s="191">
        <f t="shared" si="0"/>
        <v>214896</v>
      </c>
      <c r="E19" s="193"/>
      <c r="F19" s="191">
        <f>'6.12.5'!F19+'6.12.8'!F19+'6.12.9'!F19</f>
        <v>13861478</v>
      </c>
      <c r="G19" s="191">
        <f>'6.12.5'!G19+'6.12.8'!G19+'6.12.9'!G19</f>
        <v>1725680</v>
      </c>
      <c r="H19" s="191">
        <f t="shared" si="1"/>
        <v>15587158</v>
      </c>
      <c r="I19" s="193"/>
      <c r="J19" s="191">
        <f>'6.12.5'!J19+'6.12.8'!J19+'6.12.9'!J19</f>
        <v>64953</v>
      </c>
      <c r="K19" s="191">
        <f>'6.12.5'!K19+'6.12.8'!K19+'6.12.9'!K19</f>
        <v>13053</v>
      </c>
      <c r="L19" s="191">
        <f t="shared" si="2"/>
        <v>78006</v>
      </c>
    </row>
    <row r="20" spans="1:12" ht="12.75">
      <c r="A20" s="21">
        <v>1998</v>
      </c>
      <c r="B20" s="42">
        <f>'6.12.5'!B20+'6.12.8'!B20+'6.12.9'!B20</f>
        <v>194966</v>
      </c>
      <c r="C20" s="42">
        <f>'6.12.5'!C20+'6.12.8'!C20+'6.12.9'!C20</f>
        <v>26505</v>
      </c>
      <c r="D20" s="42">
        <f t="shared" si="0"/>
        <v>221471</v>
      </c>
      <c r="E20" s="62"/>
      <c r="F20" s="42">
        <f>'6.12.5'!F20+'6.12.8'!F20+'6.12.9'!F20</f>
        <v>15091118</v>
      </c>
      <c r="G20" s="42">
        <f>'6.12.5'!G20+'6.12.8'!G20+'6.12.9'!G20</f>
        <v>1797353</v>
      </c>
      <c r="H20" s="42">
        <f t="shared" si="1"/>
        <v>16888471</v>
      </c>
      <c r="I20" s="62"/>
      <c r="J20" s="42">
        <f>'6.12.5'!J20+'6.12.8'!J20+'6.12.9'!J20</f>
        <v>65473</v>
      </c>
      <c r="K20" s="42">
        <f>'6.12.5'!K20+'6.12.8'!K20+'6.12.9'!K20</f>
        <v>11743</v>
      </c>
      <c r="L20" s="42">
        <f t="shared" si="2"/>
        <v>77216</v>
      </c>
    </row>
    <row r="21" spans="1:12" ht="12.75">
      <c r="A21" s="195">
        <v>1999</v>
      </c>
      <c r="B21" s="191">
        <f>'6.12.5'!B21+'6.12.8'!B21+'6.12.9'!B21</f>
        <v>211662</v>
      </c>
      <c r="C21" s="191">
        <f>'6.12.5'!C21+'6.12.8'!C21+'6.12.9'!C21</f>
        <v>26311</v>
      </c>
      <c r="D21" s="191">
        <f t="shared" si="0"/>
        <v>237973</v>
      </c>
      <c r="E21" s="193"/>
      <c r="F21" s="191">
        <f>'6.12.5'!F21+'6.12.8'!F21+'6.12.9'!F21</f>
        <v>16430608</v>
      </c>
      <c r="G21" s="191">
        <f>'6.12.5'!G21+'6.12.8'!G21+'6.12.9'!G21</f>
        <v>1921890</v>
      </c>
      <c r="H21" s="191">
        <f t="shared" si="1"/>
        <v>18352498</v>
      </c>
      <c r="I21" s="193"/>
      <c r="J21" s="191">
        <f>'6.12.5'!J21+'6.12.8'!J21+'6.12.9'!J21</f>
        <v>76458.4</v>
      </c>
      <c r="K21" s="191">
        <f>'6.12.5'!K21+'6.12.8'!K21+'6.12.9'!K21</f>
        <v>9932.5</v>
      </c>
      <c r="L21" s="191">
        <f t="shared" si="2"/>
        <v>86390.9</v>
      </c>
    </row>
    <row r="22" spans="1:12" ht="12.75">
      <c r="A22" s="21">
        <v>2000</v>
      </c>
      <c r="B22" s="42">
        <f>'6.12.5'!B22+'6.12.8'!B22+'6.12.9'!B22</f>
        <v>234385</v>
      </c>
      <c r="C22" s="42">
        <f>'6.12.5'!C22+'6.12.8'!C22+'6.12.9'!C22</f>
        <v>28336</v>
      </c>
      <c r="D22" s="42">
        <f t="shared" si="0"/>
        <v>262721</v>
      </c>
      <c r="E22" s="62"/>
      <c r="F22" s="42">
        <f>'6.12.5'!F22+'6.12.8'!F22+'6.12.9'!F22</f>
        <v>18443543</v>
      </c>
      <c r="G22" s="42">
        <f>'6.12.5'!G22+'6.12.8'!G22+'6.12.9'!G22</f>
        <v>2245299</v>
      </c>
      <c r="H22" s="42">
        <f t="shared" si="1"/>
        <v>20688842</v>
      </c>
      <c r="I22" s="62"/>
      <c r="J22" s="42">
        <f>'6.12.5'!J22+'6.12.8'!J22+'6.12.9'!J22</f>
        <v>74028.669</v>
      </c>
      <c r="K22" s="42">
        <f>'6.12.5'!K22+'6.12.8'!K22+'6.12.9'!K22</f>
        <v>13677.151000000002</v>
      </c>
      <c r="L22" s="42">
        <f t="shared" si="2"/>
        <v>87705.81999999999</v>
      </c>
    </row>
    <row r="23" spans="1:12" ht="12.75">
      <c r="A23" s="195">
        <v>2001</v>
      </c>
      <c r="B23" s="191">
        <f>'6.12.5'!B23+'6.12.8'!B23+'6.12.9'!B23</f>
        <v>249978</v>
      </c>
      <c r="C23" s="191">
        <f>'6.12.5'!C23+'6.12.8'!C23+'6.12.9'!C23</f>
        <v>28524</v>
      </c>
      <c r="D23" s="191">
        <f t="shared" si="0"/>
        <v>278502</v>
      </c>
      <c r="E23" s="193"/>
      <c r="F23" s="191">
        <f>'6.12.5'!F23+'6.12.8'!F23+'6.12.9'!F23</f>
        <v>19763340</v>
      </c>
      <c r="G23" s="191">
        <f>'6.12.5'!G23+'6.12.8'!G23+'6.12.9'!G23</f>
        <v>2117861</v>
      </c>
      <c r="H23" s="191">
        <f t="shared" si="1"/>
        <v>21881201</v>
      </c>
      <c r="I23" s="193"/>
      <c r="J23" s="191">
        <f>'6.12.5'!J23+'6.12.8'!J23+'6.12.9'!J23</f>
        <v>58065.574</v>
      </c>
      <c r="K23" s="191">
        <f>'6.12.5'!K23+'6.12.8'!K23+'6.12.9'!K23</f>
        <v>19079.283</v>
      </c>
      <c r="L23" s="191">
        <f t="shared" si="2"/>
        <v>77144.857</v>
      </c>
    </row>
    <row r="24" spans="1:12" ht="12.75">
      <c r="A24" s="21">
        <v>2002</v>
      </c>
      <c r="B24" s="42">
        <f>'6.12.5'!B24+'6.12.8'!B24+'6.12.9'!B24</f>
        <v>246088</v>
      </c>
      <c r="C24" s="42">
        <f>'6.12.5'!C24+'6.12.8'!C24+'6.12.9'!C24</f>
        <v>29937</v>
      </c>
      <c r="D24" s="42">
        <f t="shared" si="0"/>
        <v>276025</v>
      </c>
      <c r="E24" s="42"/>
      <c r="F24" s="42">
        <f>'6.12.5'!F24+'6.12.8'!F24+'6.12.9'!F24</f>
        <v>20249365</v>
      </c>
      <c r="G24" s="42">
        <f>'6.12.5'!G24+'6.12.8'!G24+'6.12.9'!G24</f>
        <v>2207319</v>
      </c>
      <c r="H24" s="42">
        <f t="shared" si="1"/>
        <v>22456684</v>
      </c>
      <c r="I24" s="42"/>
      <c r="J24" s="42">
        <f>'6.12.5'!J24+'6.12.8'!J24+'6.12.9'!J24</f>
        <v>56579.924</v>
      </c>
      <c r="K24" s="42">
        <f>'6.12.5'!K24+'6.12.8'!K24+'6.12.9'!K24</f>
        <v>19136.461</v>
      </c>
      <c r="L24" s="42">
        <f t="shared" si="2"/>
        <v>75716.385</v>
      </c>
    </row>
    <row r="25" spans="1:12" ht="12.75">
      <c r="A25" s="195">
        <v>2003</v>
      </c>
      <c r="B25" s="191">
        <f>'6.12.5'!B25+'6.12.8'!B25+'6.12.9'!B25</f>
        <v>263057</v>
      </c>
      <c r="C25" s="191">
        <f>'6.12.5'!C25+'6.12.8'!C25+'6.12.9'!C25</f>
        <v>29447</v>
      </c>
      <c r="D25" s="191">
        <f t="shared" si="0"/>
        <v>292504</v>
      </c>
      <c r="E25" s="191"/>
      <c r="F25" s="191">
        <f>'6.12.5'!F25+'6.12.8'!F25+'6.12.9'!F25</f>
        <v>22622008</v>
      </c>
      <c r="G25" s="191">
        <f>'6.12.5'!G25+'6.12.8'!G25+'6.12.9'!G25</f>
        <v>2185064</v>
      </c>
      <c r="H25" s="191">
        <f t="shared" si="1"/>
        <v>24807072</v>
      </c>
      <c r="I25" s="191"/>
      <c r="J25" s="191">
        <f>'6.12.5'!J25+'6.12.8'!J25+'6.12.9'!J25</f>
        <v>51174.477</v>
      </c>
      <c r="K25" s="191">
        <f>'6.12.5'!K25+'6.12.8'!K25+'6.12.9'!K25</f>
        <v>19228.493000000002</v>
      </c>
      <c r="L25" s="191">
        <f t="shared" si="2"/>
        <v>70402.97</v>
      </c>
    </row>
    <row r="26" spans="1:12" ht="12.75">
      <c r="A26" s="21">
        <v>2004</v>
      </c>
      <c r="B26" s="42">
        <f>'6.12.5'!B26+'6.12.8'!B26+'6.12.9'!B26</f>
        <v>285041</v>
      </c>
      <c r="C26" s="42">
        <f>'6.12.5'!C26+'6.12.8'!C26+'6.12.9'!C26</f>
        <v>26984</v>
      </c>
      <c r="D26" s="42">
        <f t="shared" si="0"/>
        <v>312025</v>
      </c>
      <c r="E26" s="42"/>
      <c r="F26" s="42">
        <f>'6.12.5'!F26+'6.12.8'!F26+'6.12.9'!F26</f>
        <v>26180253</v>
      </c>
      <c r="G26" s="42">
        <f>'6.12.5'!G26+'6.12.8'!G26+'6.12.9'!G26</f>
        <v>2246740</v>
      </c>
      <c r="H26" s="42">
        <f t="shared" si="1"/>
        <v>28426993</v>
      </c>
      <c r="I26" s="42"/>
      <c r="J26" s="42">
        <f>'6.12.5'!J26+'6.12.8'!J26+'6.12.9'!J26</f>
        <v>61461.356999999996</v>
      </c>
      <c r="K26" s="42">
        <f>'6.12.5'!K26+'6.12.8'!K26+'6.12.9'!K26</f>
        <v>20601.039999999997</v>
      </c>
      <c r="L26" s="42">
        <f t="shared" si="2"/>
        <v>82062.397</v>
      </c>
    </row>
    <row r="27" spans="1:12" ht="12.75">
      <c r="A27" s="195">
        <v>2005</v>
      </c>
      <c r="B27" s="191">
        <f>'6.12.5'!B27+'6.12.8'!B27+'6.12.9'!B27</f>
        <v>306704</v>
      </c>
      <c r="C27" s="191">
        <f>'6.12.5'!C27+'6.12.8'!C27+'6.12.9'!C27</f>
        <v>26802</v>
      </c>
      <c r="D27" s="191">
        <f aca="true" t="shared" si="3" ref="D27:D32">SUM(B27:C27)</f>
        <v>333506</v>
      </c>
      <c r="E27" s="191"/>
      <c r="F27" s="191">
        <f>'6.12.5'!F27+'6.12.8'!F27+'6.12.9'!F27</f>
        <v>29680869</v>
      </c>
      <c r="G27" s="191">
        <f>'6.12.5'!G27+'6.12.8'!G27+'6.12.9'!G27</f>
        <v>2125566</v>
      </c>
      <c r="H27" s="191">
        <f aca="true" t="shared" si="4" ref="H27:H32">SUM(F27:G27)</f>
        <v>31806435</v>
      </c>
      <c r="I27" s="191"/>
      <c r="J27" s="191">
        <f>'6.12.5'!J27+'6.12.8'!J27+'6.12.9'!J27</f>
        <v>70361.8</v>
      </c>
      <c r="K27" s="191">
        <f>'6.12.5'!K27+'6.12.8'!K27+'6.12.9'!K27</f>
        <v>20132.950000000004</v>
      </c>
      <c r="L27" s="191">
        <f aca="true" t="shared" si="5" ref="L27:L32">SUM(J27:K27)</f>
        <v>90494.75</v>
      </c>
    </row>
    <row r="28" spans="1:12" ht="12.75">
      <c r="A28" s="21">
        <v>2006</v>
      </c>
      <c r="B28" s="42">
        <f>'6.12.5'!B28+'6.12.8'!B28+'6.12.9'!B41</f>
        <v>318605</v>
      </c>
      <c r="C28" s="42">
        <f>'6.12.5'!C28+'6.12.8'!C28+'6.12.9'!C41</f>
        <v>25138</v>
      </c>
      <c r="D28" s="42">
        <f t="shared" si="3"/>
        <v>343743</v>
      </c>
      <c r="E28" s="42"/>
      <c r="F28" s="42">
        <f>'6.12.5'!F28+'6.12.8'!F28+'6.12.9'!F41</f>
        <v>31902010</v>
      </c>
      <c r="G28" s="42">
        <f>'6.12.5'!G28+'6.12.8'!G28+'6.12.9'!G41</f>
        <v>1522859</v>
      </c>
      <c r="H28" s="42">
        <f t="shared" si="4"/>
        <v>33424869</v>
      </c>
      <c r="I28" s="42"/>
      <c r="J28" s="42">
        <f>'6.12.5'!J28+'6.12.8'!J28+'6.12.9'!J41</f>
        <v>71855.777</v>
      </c>
      <c r="K28" s="42">
        <f>'6.12.5'!K28+'6.12.8'!K28+'6.12.9'!K41</f>
        <v>21883.726</v>
      </c>
      <c r="L28" s="42">
        <f t="shared" si="5"/>
        <v>93739.503</v>
      </c>
    </row>
    <row r="29" spans="1:12" ht="12.75">
      <c r="A29" s="195">
        <v>2007</v>
      </c>
      <c r="B29" s="191">
        <f>'6.12.5'!B29+'6.12.8'!B41+'6.12.9'!B42</f>
        <v>323483</v>
      </c>
      <c r="C29" s="191">
        <f>'6.12.5'!C29+'6.12.8'!C41+'6.12.9'!C42</f>
        <v>20029</v>
      </c>
      <c r="D29" s="191">
        <f t="shared" si="3"/>
        <v>343512</v>
      </c>
      <c r="E29" s="191"/>
      <c r="F29" s="191">
        <f>'6.12.5'!F29+'6.12.8'!F41+'6.12.9'!F42</f>
        <v>31776207</v>
      </c>
      <c r="G29" s="191">
        <f>'6.12.5'!G29+'6.12.8'!G41+'6.12.9'!G42</f>
        <v>1027656</v>
      </c>
      <c r="H29" s="191">
        <f t="shared" si="4"/>
        <v>32803863</v>
      </c>
      <c r="I29" s="191"/>
      <c r="J29" s="191">
        <f>'6.12.5'!J29+'6.12.8'!J41+'6.12.9'!J42</f>
        <v>77120.672</v>
      </c>
      <c r="K29" s="191">
        <f>'6.12.5'!K29+'6.12.8'!K41+'6.12.9'!K42</f>
        <v>19523.984</v>
      </c>
      <c r="L29" s="191">
        <f t="shared" si="5"/>
        <v>96644.656</v>
      </c>
    </row>
    <row r="30" spans="1:12" ht="12.75">
      <c r="A30" s="21">
        <v>2008</v>
      </c>
      <c r="B30" s="42">
        <v>338470</v>
      </c>
      <c r="C30" s="42">
        <v>24432</v>
      </c>
      <c r="D30" s="42">
        <f t="shared" si="3"/>
        <v>362902</v>
      </c>
      <c r="E30" s="42"/>
      <c r="F30" s="42">
        <v>35155527</v>
      </c>
      <c r="G30" s="42">
        <v>1767996</v>
      </c>
      <c r="H30" s="42">
        <f t="shared" si="4"/>
        <v>36923523</v>
      </c>
      <c r="I30" s="42"/>
      <c r="J30" s="42">
        <v>85284</v>
      </c>
      <c r="K30" s="42">
        <v>19136</v>
      </c>
      <c r="L30" s="42">
        <f t="shared" si="5"/>
        <v>104420</v>
      </c>
    </row>
    <row r="31" spans="1:12" ht="12.75">
      <c r="A31" s="195">
        <v>2009</v>
      </c>
      <c r="B31" s="191">
        <v>303914</v>
      </c>
      <c r="C31" s="191">
        <v>19158</v>
      </c>
      <c r="D31" s="191">
        <f t="shared" si="3"/>
        <v>323072</v>
      </c>
      <c r="E31" s="191"/>
      <c r="F31" s="210">
        <v>33014879</v>
      </c>
      <c r="G31" s="191">
        <v>1343464</v>
      </c>
      <c r="H31" s="191">
        <f t="shared" si="4"/>
        <v>34358343</v>
      </c>
      <c r="I31" s="191"/>
      <c r="J31" s="191">
        <v>74598</v>
      </c>
      <c r="K31" s="191">
        <v>15143</v>
      </c>
      <c r="L31" s="191">
        <f t="shared" si="5"/>
        <v>89741</v>
      </c>
    </row>
    <row r="32" spans="1:12" ht="12.75">
      <c r="A32" s="21">
        <v>2010</v>
      </c>
      <c r="B32" s="42">
        <v>304664</v>
      </c>
      <c r="C32" s="42">
        <v>25660</v>
      </c>
      <c r="D32" s="42">
        <f t="shared" si="3"/>
        <v>330324</v>
      </c>
      <c r="E32" s="42"/>
      <c r="F32" s="110">
        <v>33950479</v>
      </c>
      <c r="G32" s="42">
        <v>1544242</v>
      </c>
      <c r="H32" s="42">
        <f t="shared" si="4"/>
        <v>35494721</v>
      </c>
      <c r="I32" s="42"/>
      <c r="J32" s="42">
        <v>84504</v>
      </c>
      <c r="K32" s="42">
        <v>20083</v>
      </c>
      <c r="L32" s="42">
        <f t="shared" si="5"/>
        <v>104587</v>
      </c>
    </row>
    <row r="33" spans="1:12" ht="12.75">
      <c r="A33" s="195">
        <v>2011</v>
      </c>
      <c r="B33" s="191">
        <v>309212</v>
      </c>
      <c r="C33" s="191">
        <v>43135</v>
      </c>
      <c r="D33" s="191">
        <v>352347</v>
      </c>
      <c r="E33" s="191"/>
      <c r="F33" s="210">
        <v>37184014</v>
      </c>
      <c r="G33" s="191">
        <v>1575097</v>
      </c>
      <c r="H33" s="191">
        <v>38759111</v>
      </c>
      <c r="I33" s="191"/>
      <c r="J33" s="191">
        <f>85575.503+1</f>
        <v>85576.503</v>
      </c>
      <c r="K33" s="191">
        <v>112762</v>
      </c>
      <c r="L33" s="191">
        <f aca="true" t="shared" si="6" ref="L33:L38">J33+K33</f>
        <v>198338.503</v>
      </c>
    </row>
    <row r="34" spans="1:12" ht="12.75">
      <c r="A34" s="21">
        <v>2012</v>
      </c>
      <c r="B34" s="42">
        <v>294043</v>
      </c>
      <c r="C34" s="42">
        <v>39746</v>
      </c>
      <c r="D34" s="42">
        <f>B34+C34</f>
        <v>333789</v>
      </c>
      <c r="E34" s="42"/>
      <c r="F34" s="110">
        <v>37386261</v>
      </c>
      <c r="G34" s="42">
        <v>1530297</v>
      </c>
      <c r="H34" s="42">
        <f>F34+G34</f>
        <v>38916558</v>
      </c>
      <c r="I34" s="42"/>
      <c r="J34" s="42">
        <v>84962</v>
      </c>
      <c r="K34" s="42">
        <v>164759</v>
      </c>
      <c r="L34" s="42">
        <f t="shared" si="6"/>
        <v>249721</v>
      </c>
    </row>
    <row r="35" spans="1:12" ht="12.75">
      <c r="A35" s="195">
        <v>2013</v>
      </c>
      <c r="B35" s="191">
        <f>'6.12.5'!B35+'6.12.8'!B35+'6.12.9'!B35</f>
        <v>280124</v>
      </c>
      <c r="C35" s="191">
        <f>'6.12.5'!C35+'6.12.8'!C35+'6.12.9'!C35</f>
        <v>40399</v>
      </c>
      <c r="D35" s="191">
        <f>B35+C35</f>
        <v>320523</v>
      </c>
      <c r="E35" s="191"/>
      <c r="F35" s="210">
        <f>'6.12.5'!F35+'6.12.8'!F35+'6.12.9'!F35</f>
        <v>37360312</v>
      </c>
      <c r="G35" s="191">
        <f>'6.12.5'!G35+'6.12.8'!G35+'6.12.9'!G35</f>
        <v>1558457</v>
      </c>
      <c r="H35" s="191">
        <f>F35+G35</f>
        <v>38918769</v>
      </c>
      <c r="I35" s="191"/>
      <c r="J35" s="191">
        <f>'6.12.5'!J35+'6.12.8'!J35+'6.12.9'!J35</f>
        <v>86494.91</v>
      </c>
      <c r="K35" s="191">
        <f>'6.12.5'!K35+'6.12.8'!K35+'6.12.9'!K35</f>
        <v>13977.739999999998</v>
      </c>
      <c r="L35" s="191">
        <f t="shared" si="6"/>
        <v>100472.65</v>
      </c>
    </row>
    <row r="36" spans="1:12" ht="12.75">
      <c r="A36" s="21">
        <v>2014</v>
      </c>
      <c r="B36" s="42">
        <f>'6.12.5'!B36+'6.12.8'!B36+'6.12.9'!B36</f>
        <v>281322</v>
      </c>
      <c r="C36" s="42">
        <f>'6.12.5'!C36+'6.12.8'!C36+'6.12.9'!C36</f>
        <v>39143</v>
      </c>
      <c r="D36" s="42">
        <f>B36+C36</f>
        <v>320465</v>
      </c>
      <c r="E36" s="42"/>
      <c r="F36" s="110">
        <f>'6.12.5'!F36+'6.12.8'!F36+'6.12.9'!F36</f>
        <v>39130314</v>
      </c>
      <c r="G36" s="42">
        <f>'6.12.5'!G36+'6.12.8'!G36+'6.12.9'!G36</f>
        <v>1440024</v>
      </c>
      <c r="H36" s="42">
        <f>F36+G36</f>
        <v>40570338</v>
      </c>
      <c r="I36" s="42"/>
      <c r="J36" s="42">
        <f>'6.12.5'!J36+'6.12.8'!J36+'6.12.9'!J36</f>
        <v>87220.148</v>
      </c>
      <c r="K36" s="42">
        <f>'6.12.5'!K36+'6.12.8'!K36+'6.12.9'!K36</f>
        <v>15587.029999999999</v>
      </c>
      <c r="L36" s="42">
        <f t="shared" si="6"/>
        <v>102807.178</v>
      </c>
    </row>
    <row r="37" spans="1:12" ht="12.75">
      <c r="A37" s="195">
        <v>2015</v>
      </c>
      <c r="B37" s="191">
        <f>'6.12.5'!B37+'6.12.8'!B37+'6.12.9'!B37</f>
        <v>283928</v>
      </c>
      <c r="C37" s="191">
        <f>'6.12.5'!C37+'6.12.8'!C37+'6.12.9'!C37</f>
        <v>38013</v>
      </c>
      <c r="D37" s="191">
        <f>B37+C37</f>
        <v>321941</v>
      </c>
      <c r="E37" s="191"/>
      <c r="F37" s="210">
        <f>'6.12.5'!F37+'6.12.8'!F37+'6.12.9'!F37</f>
        <v>41159864</v>
      </c>
      <c r="G37" s="191">
        <f>'6.12.5'!G37+'6.12.8'!G37+'6.12.9'!G37</f>
        <v>1031737</v>
      </c>
      <c r="H37" s="191">
        <f>F37+G37</f>
        <v>42191601</v>
      </c>
      <c r="I37" s="191"/>
      <c r="J37" s="191">
        <f>'6.12.5'!J37+'6.12.8'!J37+'6.12.9'!J37</f>
        <v>99386.015</v>
      </c>
      <c r="K37" s="191">
        <f>'6.12.5'!K37+'6.12.8'!K37+'6.12.9'!K37</f>
        <v>17929.54499999999</v>
      </c>
      <c r="L37" s="191">
        <f t="shared" si="6"/>
        <v>117315.56</v>
      </c>
    </row>
    <row r="38" spans="1:12" ht="12.75">
      <c r="A38" s="21">
        <v>2016</v>
      </c>
      <c r="B38" s="42">
        <f>'6.12.5'!B38+'6.12.8'!B38+'6.12.9'!B38</f>
        <v>301527</v>
      </c>
      <c r="C38" s="42">
        <f>'6.12.5'!C38+'6.12.8'!C38+'6.12.9'!C38</f>
        <v>39624</v>
      </c>
      <c r="D38" s="42">
        <f>B38+C38</f>
        <v>341151</v>
      </c>
      <c r="E38" s="42"/>
      <c r="F38" s="110">
        <f>'6.12.5'!F38+'6.12.8'!F38+'6.12.9'!F38</f>
        <v>45639149</v>
      </c>
      <c r="G38" s="42">
        <f>'6.12.5'!G38+'6.12.8'!G38+'6.12.9'!G38</f>
        <v>997918</v>
      </c>
      <c r="H38" s="42">
        <f>F38+G38</f>
        <v>46637067</v>
      </c>
      <c r="I38" s="42"/>
      <c r="J38" s="42">
        <f>'6.12.5'!J38+'6.12.8'!J38+'6.12.9'!J38</f>
        <v>115226.18500000001</v>
      </c>
      <c r="K38" s="42">
        <f>'6.12.5'!K38+'6.12.8'!K38+'6.12.9'!K38</f>
        <v>17583.624999999985</v>
      </c>
      <c r="L38" s="42">
        <f t="shared" si="6"/>
        <v>132809.81</v>
      </c>
    </row>
    <row r="39" spans="1:12" ht="12.75">
      <c r="A39" s="195">
        <v>2017</v>
      </c>
      <c r="B39" s="191">
        <f>'6.12.5'!B39+'6.12.8'!B39+'6.12.9'!B39</f>
        <v>320024</v>
      </c>
      <c r="C39" s="191">
        <f>D39-B39</f>
        <v>38790</v>
      </c>
      <c r="D39" s="191">
        <f>'6.12.5'!D39+'6.12.8'!D39+'6.12.9'!D39</f>
        <v>358814</v>
      </c>
      <c r="E39" s="191"/>
      <c r="F39" s="210">
        <f>'6.12.5'!F39+'6.12.8'!F39+'6.12.9'!F39</f>
        <v>49235120</v>
      </c>
      <c r="G39" s="191">
        <f>H39-F39</f>
        <v>1019160</v>
      </c>
      <c r="H39" s="191">
        <f>'6.12.5'!H39+'6.12.8'!H39+'6.12.9'!H39</f>
        <v>50254280</v>
      </c>
      <c r="I39" s="191"/>
      <c r="J39" s="191">
        <f>'6.12.5'!J39+'6.12.8'!J39+'6.12.9'!J39</f>
        <v>137587.357</v>
      </c>
      <c r="K39" s="191">
        <f>L39-J39</f>
        <v>18643.448000000004</v>
      </c>
      <c r="L39" s="191">
        <f>'6.12.5'!L39+'6.12.8'!L39+'6.12.9'!L39</f>
        <v>156230.805</v>
      </c>
    </row>
    <row r="40" spans="1:12" ht="12.75">
      <c r="A40" s="21">
        <v>2018</v>
      </c>
      <c r="B40" s="42">
        <f>'6.12.5'!B40+'6.12.8'!B40+'6.12.9'!B40</f>
        <v>332483</v>
      </c>
      <c r="C40" s="42">
        <f>'6.12.5'!C40+'6.12.8'!C40+'6.12.9'!C40</f>
        <v>37893</v>
      </c>
      <c r="D40" s="42">
        <f>'6.12.5'!D40+'6.12.8'!D40+'6.12.9'!D40</f>
        <v>370376</v>
      </c>
      <c r="E40" s="42"/>
      <c r="F40" s="110">
        <f>'6.12.5'!F40+'6.12.8'!F40+'6.12.9'!F40+11521</f>
        <v>52282134</v>
      </c>
      <c r="G40" s="42">
        <f>H40-F40</f>
        <v>992667</v>
      </c>
      <c r="H40" s="42">
        <f>'6.12.5'!H40+'6.12.8'!H40+'6.12.9'!H40+44892</f>
        <v>53274801</v>
      </c>
      <c r="I40" s="42"/>
      <c r="J40" s="42">
        <f>'6.12.5'!J40+'6.12.8'!J40+'6.12.9'!J40</f>
        <v>151957.905</v>
      </c>
      <c r="K40" s="42">
        <f>'6.12.5'!K40+'6.12.8'!K40+'6.12.9'!K40</f>
        <v>21115.05499999999</v>
      </c>
      <c r="L40" s="42">
        <f>'6.12.5'!L40+'6.12.8'!L40+'6.12.9'!L40</f>
        <v>173072.96</v>
      </c>
    </row>
    <row r="41" spans="1:12" ht="12.75">
      <c r="A41" s="44"/>
      <c r="B41" s="68"/>
      <c r="C41" s="68"/>
      <c r="D41" s="37"/>
      <c r="E41" s="39"/>
      <c r="F41" s="68"/>
      <c r="G41" s="68"/>
      <c r="H41" s="68"/>
      <c r="I41" s="39"/>
      <c r="J41" s="39"/>
      <c r="K41" s="39"/>
      <c r="L41" s="39"/>
    </row>
    <row r="42" spans="1:12" ht="15" customHeight="1">
      <c r="A42" s="160" t="s">
        <v>77</v>
      </c>
      <c r="B42" s="46"/>
      <c r="C42" s="46"/>
      <c r="D42" s="7"/>
      <c r="E42" s="8"/>
      <c r="F42" s="46"/>
      <c r="G42" s="46"/>
      <c r="H42" s="46"/>
      <c r="I42" s="8"/>
      <c r="J42" s="8"/>
      <c r="K42" s="8"/>
      <c r="L42" s="8"/>
    </row>
    <row r="44" ht="12.75">
      <c r="A44" s="157" t="s">
        <v>251</v>
      </c>
    </row>
  </sheetData>
  <sheetProtection/>
  <printOptions/>
  <pageMargins left="0.4" right="0.1968503937007874" top="0.5511811023622047" bottom="0" header="0" footer="0"/>
  <pageSetup fitToHeight="1" fitToWidth="1" horizontalDpi="600" verticalDpi="600" orientation="portrait" paperSize="9" scale="93" r:id="rId1"/>
  <ignoredErrors>
    <ignoredError sqref="B9:C32 G9:L32 D9:F29 B35:C35 I33:J33 L33:M33 D36:D39 H34 L34 B36:C36 G41:H41 D34 I41 M41 G36:G39 J35:L35 H36 J42:L42 H35 G35 D35 J36:L36 B37:C37 H37:I37 L37:L38 J37:K37 B38:C38 H38:H39 J38:K38 B39:C39 J41:L41 J39:L39 B40 C40:D40 J40:L40 G40:H40" unlockedFormula="1"/>
    <ignoredError sqref="D30:F32" formulaRange="1" unlockedFormula="1"/>
    <ignoredError sqref="D41:F4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showGridLines="0" zoomScaleSheetLayoutView="90" zoomScalePageLayoutView="0" workbookViewId="0" topLeftCell="A13">
      <selection activeCell="K45" sqref="K45"/>
    </sheetView>
  </sheetViews>
  <sheetFormatPr defaultColWidth="11.421875" defaultRowHeight="12.75"/>
  <cols>
    <col min="1" max="2" width="8.7109375" style="0" customWidth="1"/>
    <col min="3" max="3" width="11.7109375" style="0" customWidth="1"/>
    <col min="4" max="4" width="8.28125" style="0" customWidth="1"/>
    <col min="5" max="5" width="1.7109375" style="0" customWidth="1"/>
    <col min="6" max="6" width="9.7109375" style="0" customWidth="1"/>
    <col min="7" max="7" width="11.7109375" style="0" customWidth="1"/>
    <col min="8" max="8" width="10.7109375" style="0" customWidth="1"/>
    <col min="9" max="9" width="1.7109375" style="0" customWidth="1"/>
    <col min="10" max="10" width="8.7109375" style="0" customWidth="1"/>
    <col min="11" max="11" width="11.7109375" style="0" customWidth="1"/>
    <col min="12" max="12" width="8.7109375" style="0" customWidth="1"/>
  </cols>
  <sheetData>
    <row r="1" spans="1:12" ht="15">
      <c r="A1" s="1" t="s">
        <v>244</v>
      </c>
      <c r="B1" s="2"/>
      <c r="C1" s="2"/>
      <c r="D1" s="2"/>
      <c r="E1" s="3"/>
      <c r="F1" s="2"/>
      <c r="G1" s="2"/>
      <c r="H1" s="2"/>
      <c r="I1" s="3"/>
      <c r="J1" s="2"/>
      <c r="K1" s="2"/>
      <c r="L1" s="2"/>
    </row>
    <row r="2" spans="1:12" ht="15">
      <c r="A2" s="1"/>
      <c r="B2" s="2"/>
      <c r="C2" s="2"/>
      <c r="D2" s="2"/>
      <c r="E2" s="3"/>
      <c r="F2" s="2"/>
      <c r="G2" s="2"/>
      <c r="H2" s="2"/>
      <c r="I2" s="3"/>
      <c r="J2" s="2"/>
      <c r="K2" s="2"/>
      <c r="L2" s="2"/>
    </row>
    <row r="3" spans="1:12" ht="12.75">
      <c r="A3" s="36"/>
      <c r="B3" s="18"/>
      <c r="C3" s="18"/>
      <c r="D3" s="18"/>
      <c r="E3" s="19"/>
      <c r="F3" s="18"/>
      <c r="G3" s="18"/>
      <c r="H3" s="18"/>
      <c r="I3" s="19"/>
      <c r="J3" s="18"/>
      <c r="K3" s="18"/>
      <c r="L3" s="18"/>
    </row>
    <row r="4" spans="1:12" ht="12.75">
      <c r="A4" s="196"/>
      <c r="B4" s="197" t="s">
        <v>0</v>
      </c>
      <c r="C4" s="197"/>
      <c r="D4" s="197"/>
      <c r="E4" s="198"/>
      <c r="F4" s="197" t="s">
        <v>7</v>
      </c>
      <c r="G4" s="197"/>
      <c r="H4" s="197"/>
      <c r="I4" s="198"/>
      <c r="J4" s="197" t="s">
        <v>10</v>
      </c>
      <c r="K4" s="197"/>
      <c r="L4" s="197"/>
    </row>
    <row r="5" spans="1:12" s="41" customFormat="1" ht="12.75">
      <c r="A5" s="202"/>
      <c r="B5" s="200" t="s">
        <v>11</v>
      </c>
      <c r="C5" s="200" t="s">
        <v>12</v>
      </c>
      <c r="D5" s="200"/>
      <c r="E5" s="201"/>
      <c r="F5" s="200" t="s">
        <v>11</v>
      </c>
      <c r="G5" s="200" t="s">
        <v>12</v>
      </c>
      <c r="H5" s="200"/>
      <c r="I5" s="201"/>
      <c r="J5" s="200" t="s">
        <v>11</v>
      </c>
      <c r="K5" s="200" t="s">
        <v>12</v>
      </c>
      <c r="L5" s="200"/>
    </row>
    <row r="6" spans="1:12" s="41" customFormat="1" ht="12.75">
      <c r="A6" s="203"/>
      <c r="B6" s="185" t="s">
        <v>13</v>
      </c>
      <c r="C6" s="185" t="s">
        <v>13</v>
      </c>
      <c r="D6" s="185" t="s">
        <v>1</v>
      </c>
      <c r="E6" s="187"/>
      <c r="F6" s="185" t="s">
        <v>13</v>
      </c>
      <c r="G6" s="185" t="s">
        <v>13</v>
      </c>
      <c r="H6" s="185" t="s">
        <v>1</v>
      </c>
      <c r="I6" s="187"/>
      <c r="J6" s="185" t="s">
        <v>13</v>
      </c>
      <c r="K6" s="185" t="s">
        <v>13</v>
      </c>
      <c r="L6" s="185" t="s">
        <v>1</v>
      </c>
    </row>
    <row r="7" spans="1:12" s="41" customFormat="1" ht="12.75">
      <c r="A7" s="21"/>
      <c r="B7" s="31"/>
      <c r="C7" s="31"/>
      <c r="D7" s="31"/>
      <c r="E7" s="43"/>
      <c r="F7" s="31"/>
      <c r="G7" s="31"/>
      <c r="H7" s="31"/>
      <c r="I7" s="43"/>
      <c r="J7" s="31"/>
      <c r="K7" s="31"/>
      <c r="L7" s="31"/>
    </row>
    <row r="8" spans="1:12" s="41" customFormat="1" ht="12.75" hidden="1">
      <c r="A8" s="21">
        <v>1986</v>
      </c>
      <c r="B8" s="42">
        <v>67630</v>
      </c>
      <c r="C8" s="42">
        <v>6876</v>
      </c>
      <c r="D8" s="42">
        <v>74506</v>
      </c>
      <c r="E8" s="62"/>
      <c r="F8" s="42">
        <v>5650423</v>
      </c>
      <c r="G8" s="42">
        <v>446994</v>
      </c>
      <c r="H8" s="42">
        <v>6097417</v>
      </c>
      <c r="I8" s="62"/>
      <c r="J8" s="42">
        <v>46410</v>
      </c>
      <c r="K8" s="42">
        <v>644</v>
      </c>
      <c r="L8" s="42">
        <v>47054</v>
      </c>
    </row>
    <row r="9" spans="1:12" s="41" customFormat="1" ht="12.75">
      <c r="A9" s="21">
        <v>1987</v>
      </c>
      <c r="B9" s="42">
        <v>70770</v>
      </c>
      <c r="C9" s="42">
        <v>6246</v>
      </c>
      <c r="D9" s="42">
        <v>77016</v>
      </c>
      <c r="E9" s="62"/>
      <c r="F9" s="42">
        <v>6297623</v>
      </c>
      <c r="G9" s="42">
        <v>362936</v>
      </c>
      <c r="H9" s="42">
        <v>6660559</v>
      </c>
      <c r="I9" s="62"/>
      <c r="J9" s="42">
        <v>43697</v>
      </c>
      <c r="K9" s="42">
        <v>1357</v>
      </c>
      <c r="L9" s="42">
        <v>45054</v>
      </c>
    </row>
    <row r="10" spans="1:12" s="41" customFormat="1" ht="12.75">
      <c r="A10" s="195">
        <v>1988</v>
      </c>
      <c r="B10" s="191">
        <v>82396</v>
      </c>
      <c r="C10" s="191">
        <v>13867</v>
      </c>
      <c r="D10" s="191">
        <v>96263</v>
      </c>
      <c r="E10" s="193"/>
      <c r="F10" s="191">
        <v>6816340</v>
      </c>
      <c r="G10" s="191">
        <v>417682</v>
      </c>
      <c r="H10" s="191">
        <v>7234022</v>
      </c>
      <c r="I10" s="193"/>
      <c r="J10" s="191">
        <v>51137</v>
      </c>
      <c r="K10" s="191">
        <v>4505</v>
      </c>
      <c r="L10" s="191">
        <v>55642</v>
      </c>
    </row>
    <row r="11" spans="1:12" s="41" customFormat="1" ht="12.75">
      <c r="A11" s="21">
        <v>1989</v>
      </c>
      <c r="B11" s="42">
        <v>92797</v>
      </c>
      <c r="C11" s="42">
        <v>13332</v>
      </c>
      <c r="D11" s="42">
        <v>106129</v>
      </c>
      <c r="E11" s="62"/>
      <c r="F11" s="42">
        <v>7566000</v>
      </c>
      <c r="G11" s="42">
        <v>580000</v>
      </c>
      <c r="H11" s="42">
        <v>8146000</v>
      </c>
      <c r="I11" s="62"/>
      <c r="J11" s="42">
        <v>59039</v>
      </c>
      <c r="K11" s="42">
        <v>2283</v>
      </c>
      <c r="L11" s="42">
        <v>61322</v>
      </c>
    </row>
    <row r="12" spans="1:12" s="41" customFormat="1" ht="12.75">
      <c r="A12" s="195">
        <v>1990</v>
      </c>
      <c r="B12" s="191">
        <v>104520</v>
      </c>
      <c r="C12" s="191">
        <v>13211</v>
      </c>
      <c r="D12" s="191">
        <v>117731</v>
      </c>
      <c r="E12" s="193"/>
      <c r="F12" s="191">
        <v>8358433</v>
      </c>
      <c r="G12" s="191">
        <v>682815</v>
      </c>
      <c r="H12" s="191">
        <v>9041248</v>
      </c>
      <c r="I12" s="193"/>
      <c r="J12" s="191">
        <v>63039</v>
      </c>
      <c r="K12" s="191">
        <v>2974</v>
      </c>
      <c r="L12" s="191">
        <v>66013</v>
      </c>
    </row>
    <row r="13" spans="1:12" s="41" customFormat="1" ht="12.75">
      <c r="A13" s="21">
        <v>1991</v>
      </c>
      <c r="B13" s="42">
        <v>111903</v>
      </c>
      <c r="C13" s="42">
        <v>11146</v>
      </c>
      <c r="D13" s="42">
        <v>123049</v>
      </c>
      <c r="E13" s="62"/>
      <c r="F13" s="42">
        <v>8204438</v>
      </c>
      <c r="G13" s="42">
        <v>756796</v>
      </c>
      <c r="H13" s="42">
        <v>8961234</v>
      </c>
      <c r="I13" s="62"/>
      <c r="J13" s="42">
        <v>61947</v>
      </c>
      <c r="K13" s="42">
        <v>715</v>
      </c>
      <c r="L13" s="42">
        <v>62662</v>
      </c>
    </row>
    <row r="14" spans="1:12" s="41" customFormat="1" ht="12.75">
      <c r="A14" s="195">
        <v>1992</v>
      </c>
      <c r="B14" s="191">
        <v>125058</v>
      </c>
      <c r="C14" s="191">
        <v>11023</v>
      </c>
      <c r="D14" s="191">
        <v>136081</v>
      </c>
      <c r="E14" s="193"/>
      <c r="F14" s="191">
        <v>9287415</v>
      </c>
      <c r="G14" s="191">
        <v>748795</v>
      </c>
      <c r="H14" s="191">
        <v>10036210</v>
      </c>
      <c r="I14" s="193"/>
      <c r="J14" s="191">
        <v>70531</v>
      </c>
      <c r="K14" s="191">
        <v>1890</v>
      </c>
      <c r="L14" s="191">
        <v>72421</v>
      </c>
    </row>
    <row r="15" spans="1:12" s="41" customFormat="1" ht="12.75">
      <c r="A15" s="21">
        <v>1993</v>
      </c>
      <c r="B15" s="42">
        <v>122466</v>
      </c>
      <c r="C15" s="42">
        <v>11076</v>
      </c>
      <c r="D15" s="42">
        <v>133542</v>
      </c>
      <c r="E15" s="62"/>
      <c r="F15" s="42">
        <v>8969614</v>
      </c>
      <c r="G15" s="42">
        <v>684526</v>
      </c>
      <c r="H15" s="42">
        <v>9654140</v>
      </c>
      <c r="I15" s="62"/>
      <c r="J15" s="42">
        <v>55639</v>
      </c>
      <c r="K15" s="42">
        <v>1838</v>
      </c>
      <c r="L15" s="42">
        <v>57477</v>
      </c>
    </row>
    <row r="16" spans="1:12" s="41" customFormat="1" ht="12.75">
      <c r="A16" s="195">
        <v>1994</v>
      </c>
      <c r="B16" s="191">
        <v>126019</v>
      </c>
      <c r="C16" s="191">
        <v>16039</v>
      </c>
      <c r="D16" s="191">
        <v>142058</v>
      </c>
      <c r="E16" s="193"/>
      <c r="F16" s="191">
        <v>9641981</v>
      </c>
      <c r="G16" s="191">
        <v>654714</v>
      </c>
      <c r="H16" s="191">
        <v>10296695</v>
      </c>
      <c r="I16" s="193"/>
      <c r="J16" s="191">
        <v>47809.864</v>
      </c>
      <c r="K16" s="191">
        <v>11074</v>
      </c>
      <c r="L16" s="191">
        <v>58883.864</v>
      </c>
    </row>
    <row r="17" spans="1:12" s="41" customFormat="1" ht="12.75">
      <c r="A17" s="21">
        <v>1995</v>
      </c>
      <c r="B17" s="42">
        <v>135820</v>
      </c>
      <c r="C17" s="42">
        <v>16200</v>
      </c>
      <c r="D17" s="42">
        <v>152020</v>
      </c>
      <c r="E17" s="62"/>
      <c r="F17" s="42">
        <v>10774947</v>
      </c>
      <c r="G17" s="42">
        <v>538441</v>
      </c>
      <c r="H17" s="42">
        <v>11313388</v>
      </c>
      <c r="I17" s="62"/>
      <c r="J17" s="42">
        <v>54946.885</v>
      </c>
      <c r="K17" s="42">
        <v>13571.712</v>
      </c>
      <c r="L17" s="42">
        <v>68518.597</v>
      </c>
    </row>
    <row r="18" spans="1:12" s="41" customFormat="1" ht="12.75">
      <c r="A18" s="195">
        <v>1996</v>
      </c>
      <c r="B18" s="191">
        <v>158035</v>
      </c>
      <c r="C18" s="191">
        <v>18723</v>
      </c>
      <c r="D18" s="191">
        <v>176758</v>
      </c>
      <c r="E18" s="193"/>
      <c r="F18" s="191">
        <v>12233937</v>
      </c>
      <c r="G18" s="191">
        <v>684760</v>
      </c>
      <c r="H18" s="191">
        <v>12918697</v>
      </c>
      <c r="I18" s="193"/>
      <c r="J18" s="191">
        <v>59965</v>
      </c>
      <c r="K18" s="191">
        <v>16683</v>
      </c>
      <c r="L18" s="191">
        <v>76648</v>
      </c>
    </row>
    <row r="19" spans="1:12" s="41" customFormat="1" ht="12.75">
      <c r="A19" s="21">
        <v>1997</v>
      </c>
      <c r="B19" s="42">
        <f>97320+87366</f>
        <v>184686</v>
      </c>
      <c r="C19" s="42">
        <f>14122+8121</f>
        <v>22243</v>
      </c>
      <c r="D19" s="42">
        <f aca="true" t="shared" si="0" ref="D19:D32">B19+C19</f>
        <v>206929</v>
      </c>
      <c r="E19" s="62"/>
      <c r="F19" s="42">
        <f>8135436+5674028</f>
        <v>13809464</v>
      </c>
      <c r="G19" s="42">
        <f>165658+587376</f>
        <v>753034</v>
      </c>
      <c r="H19" s="62">
        <v>14562498</v>
      </c>
      <c r="I19" s="62"/>
      <c r="J19" s="42">
        <f>25175+39758</f>
        <v>64933</v>
      </c>
      <c r="K19" s="42">
        <f>7194+5804</f>
        <v>12998</v>
      </c>
      <c r="L19" s="42">
        <f aca="true" t="shared" si="1" ref="L19:L32">K19+J19</f>
        <v>77931</v>
      </c>
    </row>
    <row r="20" spans="1:12" s="41" customFormat="1" ht="12.75">
      <c r="A20" s="195">
        <v>1998</v>
      </c>
      <c r="B20" s="191">
        <f>99260+94237</f>
        <v>193497</v>
      </c>
      <c r="C20" s="191">
        <f>11292+7569</f>
        <v>18861</v>
      </c>
      <c r="D20" s="191">
        <f t="shared" si="0"/>
        <v>212358</v>
      </c>
      <c r="E20" s="193"/>
      <c r="F20" s="191">
        <f>8513813+6501880</f>
        <v>15015693</v>
      </c>
      <c r="G20" s="191">
        <f>161128+569470</f>
        <v>730598</v>
      </c>
      <c r="H20" s="193">
        <f aca="true" t="shared" si="2" ref="H20:H25">SUM(F20:G20)</f>
        <v>15746291</v>
      </c>
      <c r="I20" s="193"/>
      <c r="J20" s="191">
        <f>26069+39356</f>
        <v>65425</v>
      </c>
      <c r="K20" s="191">
        <f>5732+5856</f>
        <v>11588</v>
      </c>
      <c r="L20" s="191">
        <f t="shared" si="1"/>
        <v>77013</v>
      </c>
    </row>
    <row r="21" spans="1:12" s="41" customFormat="1" ht="12.75">
      <c r="A21" s="21">
        <v>1999</v>
      </c>
      <c r="B21" s="42">
        <f>107654+102116</f>
        <v>209770</v>
      </c>
      <c r="C21" s="42">
        <f>10149+8719</f>
        <v>18868</v>
      </c>
      <c r="D21" s="42">
        <f t="shared" si="0"/>
        <v>228638</v>
      </c>
      <c r="E21" s="62"/>
      <c r="F21" s="42">
        <f>8902689+7425962</f>
        <v>16328651</v>
      </c>
      <c r="G21" s="42">
        <f>146267+653750</f>
        <v>800017</v>
      </c>
      <c r="H21" s="62">
        <f t="shared" si="2"/>
        <v>17128668</v>
      </c>
      <c r="I21" s="62"/>
      <c r="J21" s="42">
        <f>27391.7+48859.8</f>
        <v>76251.5</v>
      </c>
      <c r="K21" s="42">
        <f>5528.5+4393.3</f>
        <v>9921.8</v>
      </c>
      <c r="L21" s="42">
        <f t="shared" si="1"/>
        <v>86173.3</v>
      </c>
    </row>
    <row r="22" spans="1:12" s="41" customFormat="1" ht="12.75">
      <c r="A22" s="195">
        <v>2000</v>
      </c>
      <c r="B22" s="191">
        <f>111690+119658</f>
        <v>231348</v>
      </c>
      <c r="C22" s="191">
        <f>9708+11140</f>
        <v>20848</v>
      </c>
      <c r="D22" s="191">
        <f t="shared" si="0"/>
        <v>252196</v>
      </c>
      <c r="E22" s="193"/>
      <c r="F22" s="191">
        <f>9879740+8442039</f>
        <v>18321779</v>
      </c>
      <c r="G22" s="191">
        <f>108466+945093</f>
        <v>1053559</v>
      </c>
      <c r="H22" s="193">
        <f t="shared" si="2"/>
        <v>19375338</v>
      </c>
      <c r="I22" s="193"/>
      <c r="J22" s="191">
        <f>25976.247+47684.888</f>
        <v>73661.135</v>
      </c>
      <c r="K22" s="191">
        <f>6356.765+7290.566</f>
        <v>13647.331</v>
      </c>
      <c r="L22" s="191">
        <f t="shared" si="1"/>
        <v>87308.466</v>
      </c>
    </row>
    <row r="23" spans="1:12" s="41" customFormat="1" ht="12.75">
      <c r="A23" s="21">
        <v>2001</v>
      </c>
      <c r="B23" s="42">
        <f>118070+129265</f>
        <v>247335</v>
      </c>
      <c r="C23" s="42">
        <f>10320+10481</f>
        <v>20801</v>
      </c>
      <c r="D23" s="42">
        <f t="shared" si="0"/>
        <v>268136</v>
      </c>
      <c r="E23" s="62"/>
      <c r="F23" s="42">
        <f>9987791+9653402</f>
        <v>19641193</v>
      </c>
      <c r="G23" s="42">
        <f>87745+816742</f>
        <v>904487</v>
      </c>
      <c r="H23" s="62">
        <f t="shared" si="2"/>
        <v>20545680</v>
      </c>
      <c r="I23" s="62"/>
      <c r="J23" s="42">
        <f>20263.145+37789.964</f>
        <v>58053.109</v>
      </c>
      <c r="K23" s="42">
        <f>6323.642+12588.884</f>
        <v>18912.525999999998</v>
      </c>
      <c r="L23" s="42">
        <f t="shared" si="1"/>
        <v>76965.635</v>
      </c>
    </row>
    <row r="24" spans="1:12" s="41" customFormat="1" ht="12.75">
      <c r="A24" s="195">
        <v>2002</v>
      </c>
      <c r="B24" s="191">
        <f>111564+132186</f>
        <v>243750</v>
      </c>
      <c r="C24" s="191">
        <f>10236+11477</f>
        <v>21713</v>
      </c>
      <c r="D24" s="191">
        <f t="shared" si="0"/>
        <v>265463</v>
      </c>
      <c r="E24" s="193"/>
      <c r="F24" s="191">
        <f>9830372+10298186</f>
        <v>20128558</v>
      </c>
      <c r="G24" s="191">
        <f>145579+894860</f>
        <v>1040439</v>
      </c>
      <c r="H24" s="193">
        <f t="shared" si="2"/>
        <v>21168997</v>
      </c>
      <c r="I24" s="193"/>
      <c r="J24" s="191">
        <f>21176.572+35399.98</f>
        <v>56576.552</v>
      </c>
      <c r="K24" s="191">
        <f>3608.025+15032.809</f>
        <v>18640.834</v>
      </c>
      <c r="L24" s="191">
        <f t="shared" si="1"/>
        <v>75217.386</v>
      </c>
    </row>
    <row r="25" spans="1:12" s="41" customFormat="1" ht="12.75">
      <c r="A25" s="21">
        <v>2003</v>
      </c>
      <c r="B25" s="42">
        <f>115791+138036</f>
        <v>253827</v>
      </c>
      <c r="C25" s="42">
        <f>10618+11769</f>
        <v>22387</v>
      </c>
      <c r="D25" s="42">
        <f t="shared" si="0"/>
        <v>276214</v>
      </c>
      <c r="E25" s="62"/>
      <c r="F25" s="42">
        <f>10425395+11071671</f>
        <v>21497066</v>
      </c>
      <c r="G25" s="42">
        <f>176872+867686</f>
        <v>1044558</v>
      </c>
      <c r="H25" s="62">
        <f t="shared" si="2"/>
        <v>22541624</v>
      </c>
      <c r="I25" s="62"/>
      <c r="J25" s="42">
        <f>19049.563+32121.59</f>
        <v>51171.153</v>
      </c>
      <c r="K25" s="42">
        <f>3320.982+15623.52</f>
        <v>18944.502</v>
      </c>
      <c r="L25" s="42">
        <f t="shared" si="1"/>
        <v>70115.655</v>
      </c>
    </row>
    <row r="26" spans="1:12" s="41" customFormat="1" ht="12.75">
      <c r="A26" s="195">
        <v>2004</v>
      </c>
      <c r="B26" s="191">
        <f>123103+141220</f>
        <v>264323</v>
      </c>
      <c r="C26" s="191">
        <f>8303+11617</f>
        <v>19920</v>
      </c>
      <c r="D26" s="191">
        <f t="shared" si="0"/>
        <v>284243</v>
      </c>
      <c r="E26" s="193"/>
      <c r="F26" s="191">
        <f>11275109+11997901</f>
        <v>23273010</v>
      </c>
      <c r="G26" s="191">
        <f>202169+888115</f>
        <v>1090284</v>
      </c>
      <c r="H26" s="193">
        <f aca="true" t="shared" si="3" ref="H26:H32">SUM(F26:G26)</f>
        <v>24363294</v>
      </c>
      <c r="I26" s="193"/>
      <c r="J26" s="191">
        <f>20429.228+41029.812</f>
        <v>61459.03999999999</v>
      </c>
      <c r="K26" s="191">
        <f>3318.098+17131.278</f>
        <v>20449.375999999997</v>
      </c>
      <c r="L26" s="191">
        <f t="shared" si="1"/>
        <v>81908.416</v>
      </c>
    </row>
    <row r="27" spans="1:12" s="41" customFormat="1" ht="12.75">
      <c r="A27" s="21">
        <v>2005</v>
      </c>
      <c r="B27" s="42">
        <f>138078+142729</f>
        <v>280807</v>
      </c>
      <c r="C27" s="42">
        <f>8035+11412</f>
        <v>19447</v>
      </c>
      <c r="D27" s="42">
        <f t="shared" si="0"/>
        <v>300254</v>
      </c>
      <c r="E27" s="62"/>
      <c r="F27" s="42">
        <f>13208734+12674571</f>
        <v>25883305</v>
      </c>
      <c r="G27" s="42">
        <f>158856+899054</f>
        <v>1057910</v>
      </c>
      <c r="H27" s="62">
        <f t="shared" si="3"/>
        <v>26941215</v>
      </c>
      <c r="I27" s="62"/>
      <c r="J27" s="42">
        <f>18770.584+51591.213</f>
        <v>70361.797</v>
      </c>
      <c r="K27" s="42">
        <f>3778.652+16098.966</f>
        <v>19877.618000000002</v>
      </c>
      <c r="L27" s="42">
        <f t="shared" si="1"/>
        <v>90239.41500000001</v>
      </c>
    </row>
    <row r="28" spans="1:12" s="41" customFormat="1" ht="12.75">
      <c r="A28" s="195">
        <v>2006</v>
      </c>
      <c r="B28" s="191">
        <f>147421+150306</f>
        <v>297727</v>
      </c>
      <c r="C28" s="191">
        <f>8168+13613</f>
        <v>21781</v>
      </c>
      <c r="D28" s="191">
        <f t="shared" si="0"/>
        <v>319508</v>
      </c>
      <c r="E28" s="193"/>
      <c r="F28" s="191">
        <f>14210257+14460751</f>
        <v>28671008</v>
      </c>
      <c r="G28" s="191">
        <f>159981+1004724</f>
        <v>1164705</v>
      </c>
      <c r="H28" s="193">
        <f t="shared" si="3"/>
        <v>29835713</v>
      </c>
      <c r="I28" s="193"/>
      <c r="J28" s="191">
        <f>15923.383+55932.394</f>
        <v>71855.777</v>
      </c>
      <c r="K28" s="191">
        <f>4256.691+17143.489</f>
        <v>21400.18</v>
      </c>
      <c r="L28" s="191">
        <f t="shared" si="1"/>
        <v>93255.957</v>
      </c>
    </row>
    <row r="29" spans="1:12" s="41" customFormat="1" ht="12.75">
      <c r="A29" s="21">
        <v>2007</v>
      </c>
      <c r="B29" s="42">
        <v>323483</v>
      </c>
      <c r="C29" s="42">
        <v>20029</v>
      </c>
      <c r="D29" s="42">
        <f t="shared" si="0"/>
        <v>343512</v>
      </c>
      <c r="E29" s="62"/>
      <c r="F29" s="42">
        <v>31776207</v>
      </c>
      <c r="G29" s="42">
        <v>1027656</v>
      </c>
      <c r="H29" s="62">
        <f t="shared" si="3"/>
        <v>32803863</v>
      </c>
      <c r="I29" s="62"/>
      <c r="J29" s="42">
        <v>77120.672</v>
      </c>
      <c r="K29" s="42">
        <v>19523.984</v>
      </c>
      <c r="L29" s="42">
        <f t="shared" si="1"/>
        <v>96644.656</v>
      </c>
    </row>
    <row r="30" spans="1:12" s="41" customFormat="1" ht="12.75">
      <c r="A30" s="195">
        <v>2008</v>
      </c>
      <c r="B30" s="191">
        <v>296581</v>
      </c>
      <c r="C30" s="191">
        <v>17854</v>
      </c>
      <c r="D30" s="191">
        <f t="shared" si="0"/>
        <v>314435</v>
      </c>
      <c r="E30" s="193"/>
      <c r="F30" s="191">
        <v>29260854</v>
      </c>
      <c r="G30" s="191">
        <v>908809</v>
      </c>
      <c r="H30" s="193">
        <f t="shared" si="3"/>
        <v>30169663</v>
      </c>
      <c r="I30" s="193"/>
      <c r="J30" s="191">
        <v>85284</v>
      </c>
      <c r="K30" s="191">
        <v>18840</v>
      </c>
      <c r="L30" s="191">
        <f t="shared" si="1"/>
        <v>104124</v>
      </c>
    </row>
    <row r="31" spans="1:12" s="41" customFormat="1" ht="12.75">
      <c r="A31" s="21">
        <v>2009</v>
      </c>
      <c r="B31" s="42">
        <v>258678</v>
      </c>
      <c r="C31" s="42">
        <v>14223</v>
      </c>
      <c r="D31" s="42">
        <f t="shared" si="0"/>
        <v>272901</v>
      </c>
      <c r="E31" s="62"/>
      <c r="F31" s="42">
        <v>26675935</v>
      </c>
      <c r="G31" s="42">
        <v>728412</v>
      </c>
      <c r="H31" s="62">
        <f t="shared" si="3"/>
        <v>27404347</v>
      </c>
      <c r="I31" s="62"/>
      <c r="J31" s="42">
        <v>74594</v>
      </c>
      <c r="K31" s="42">
        <v>15066</v>
      </c>
      <c r="L31" s="42">
        <f t="shared" si="1"/>
        <v>89660</v>
      </c>
    </row>
    <row r="32" spans="1:12" s="41" customFormat="1" ht="12.75">
      <c r="A32" s="195">
        <v>2010</v>
      </c>
      <c r="B32" s="191">
        <v>256058</v>
      </c>
      <c r="C32" s="191">
        <v>21774</v>
      </c>
      <c r="D32" s="191">
        <f t="shared" si="0"/>
        <v>277832</v>
      </c>
      <c r="E32" s="193"/>
      <c r="F32" s="191">
        <v>28235251</v>
      </c>
      <c r="G32" s="191">
        <v>974344</v>
      </c>
      <c r="H32" s="193">
        <f t="shared" si="3"/>
        <v>29209595</v>
      </c>
      <c r="I32" s="193"/>
      <c r="J32" s="191">
        <v>84504</v>
      </c>
      <c r="K32" s="191">
        <v>19775</v>
      </c>
      <c r="L32" s="191">
        <f t="shared" si="1"/>
        <v>104279</v>
      </c>
    </row>
    <row r="33" spans="1:12" s="41" customFormat="1" ht="12.75">
      <c r="A33" s="21">
        <v>2011</v>
      </c>
      <c r="B33" s="42">
        <v>281878</v>
      </c>
      <c r="C33" s="42">
        <f aca="true" t="shared" si="4" ref="C33:C40">D33-B33</f>
        <v>21176</v>
      </c>
      <c r="D33" s="145">
        <v>303054</v>
      </c>
      <c r="E33" s="62"/>
      <c r="F33" s="42">
        <v>33349973</v>
      </c>
      <c r="G33" s="42">
        <f aca="true" t="shared" si="5" ref="G33:G40">H33-F33</f>
        <v>1048253</v>
      </c>
      <c r="H33" s="144">
        <v>34398226</v>
      </c>
      <c r="I33" s="62"/>
      <c r="J33" s="42">
        <v>85575.503</v>
      </c>
      <c r="K33" s="42">
        <f aca="true" t="shared" si="6" ref="K33:K40">L33-J33</f>
        <v>15449.497000000003</v>
      </c>
      <c r="L33" s="145">
        <v>101025</v>
      </c>
    </row>
    <row r="34" spans="1:12" s="41" customFormat="1" ht="12.75">
      <c r="A34" s="195">
        <v>2012</v>
      </c>
      <c r="B34" s="191">
        <v>270515</v>
      </c>
      <c r="C34" s="191">
        <f t="shared" si="4"/>
        <v>19489</v>
      </c>
      <c r="D34" s="191">
        <v>290004</v>
      </c>
      <c r="E34" s="193"/>
      <c r="F34" s="191">
        <v>34067610</v>
      </c>
      <c r="G34" s="191">
        <f t="shared" si="5"/>
        <v>1077566</v>
      </c>
      <c r="H34" s="193">
        <v>35145176</v>
      </c>
      <c r="I34" s="193"/>
      <c r="J34" s="191">
        <v>84962.298</v>
      </c>
      <c r="K34" s="191">
        <f t="shared" si="6"/>
        <v>15384.702000000005</v>
      </c>
      <c r="L34" s="191">
        <v>100347</v>
      </c>
    </row>
    <row r="35" spans="1:12" s="41" customFormat="1" ht="12.75">
      <c r="A35" s="21">
        <v>2013</v>
      </c>
      <c r="B35" s="42">
        <v>255806</v>
      </c>
      <c r="C35" s="42">
        <f t="shared" si="4"/>
        <v>20690</v>
      </c>
      <c r="D35" s="145">
        <v>276496</v>
      </c>
      <c r="E35" s="62"/>
      <c r="F35" s="42">
        <v>34054299</v>
      </c>
      <c r="G35" s="42">
        <f t="shared" si="5"/>
        <v>1156436</v>
      </c>
      <c r="H35" s="144">
        <v>35210735</v>
      </c>
      <c r="I35" s="62"/>
      <c r="J35" s="42">
        <v>86494.91</v>
      </c>
      <c r="K35" s="42">
        <f t="shared" si="6"/>
        <v>13931.871</v>
      </c>
      <c r="L35" s="145">
        <v>100426.781</v>
      </c>
    </row>
    <row r="36" spans="1:12" s="41" customFormat="1" ht="12.75">
      <c r="A36" s="195">
        <v>2014</v>
      </c>
      <c r="B36" s="191">
        <v>263502</v>
      </c>
      <c r="C36" s="191">
        <f t="shared" si="4"/>
        <v>20348</v>
      </c>
      <c r="D36" s="191">
        <v>283850</v>
      </c>
      <c r="E36" s="193"/>
      <c r="F36" s="191">
        <v>36515680</v>
      </c>
      <c r="G36" s="191">
        <f t="shared" si="5"/>
        <v>1043364</v>
      </c>
      <c r="H36" s="193">
        <v>37559044</v>
      </c>
      <c r="I36" s="193"/>
      <c r="J36" s="191">
        <v>87220.148</v>
      </c>
      <c r="K36" s="191">
        <f t="shared" si="6"/>
        <v>15496.606</v>
      </c>
      <c r="L36" s="191">
        <v>102716.754</v>
      </c>
    </row>
    <row r="37" spans="1:12" s="41" customFormat="1" ht="12.75">
      <c r="A37" s="21">
        <v>2015</v>
      </c>
      <c r="B37" s="42">
        <v>271078</v>
      </c>
      <c r="C37" s="42">
        <f t="shared" si="4"/>
        <v>17801</v>
      </c>
      <c r="D37" s="145">
        <v>288879</v>
      </c>
      <c r="E37" s="62"/>
      <c r="F37" s="42">
        <v>39092714</v>
      </c>
      <c r="G37" s="42">
        <f t="shared" si="5"/>
        <v>618523</v>
      </c>
      <c r="H37" s="144">
        <v>39711237</v>
      </c>
      <c r="I37" s="62"/>
      <c r="J37" s="42">
        <v>99385.725</v>
      </c>
      <c r="K37" s="42">
        <f t="shared" si="6"/>
        <v>17833.656999999992</v>
      </c>
      <c r="L37" s="145">
        <v>117219.382</v>
      </c>
    </row>
    <row r="38" spans="1:12" s="41" customFormat="1" ht="12.75">
      <c r="A38" s="195">
        <v>2016</v>
      </c>
      <c r="B38" s="191">
        <v>288975</v>
      </c>
      <c r="C38" s="191">
        <f t="shared" si="4"/>
        <v>18889</v>
      </c>
      <c r="D38" s="191">
        <v>307864</v>
      </c>
      <c r="E38" s="193"/>
      <c r="F38" s="191">
        <v>43562525</v>
      </c>
      <c r="G38" s="191">
        <f t="shared" si="5"/>
        <v>592168</v>
      </c>
      <c r="H38" s="193">
        <v>44154693</v>
      </c>
      <c r="I38" s="193"/>
      <c r="J38" s="191">
        <v>115226.115</v>
      </c>
      <c r="K38" s="191">
        <f t="shared" si="6"/>
        <v>17531.105999999985</v>
      </c>
      <c r="L38" s="191">
        <v>132757.221</v>
      </c>
    </row>
    <row r="39" spans="1:12" s="41" customFormat="1" ht="12.75">
      <c r="A39" s="266">
        <v>2017</v>
      </c>
      <c r="B39" s="145">
        <v>304427</v>
      </c>
      <c r="C39" s="145">
        <f t="shared" si="4"/>
        <v>19112</v>
      </c>
      <c r="D39" s="145">
        <v>323539</v>
      </c>
      <c r="E39" s="144"/>
      <c r="F39" s="145">
        <v>46678078</v>
      </c>
      <c r="G39" s="145">
        <f t="shared" si="5"/>
        <v>606422</v>
      </c>
      <c r="H39" s="144">
        <v>47284500</v>
      </c>
      <c r="I39" s="144"/>
      <c r="J39" s="145">
        <v>137587.357</v>
      </c>
      <c r="K39" s="145">
        <f t="shared" si="6"/>
        <v>18517.947000000015</v>
      </c>
      <c r="L39" s="145">
        <v>156105.304</v>
      </c>
    </row>
    <row r="40" spans="1:12" s="41" customFormat="1" ht="12.75">
      <c r="A40" s="195">
        <v>2018</v>
      </c>
      <c r="B40" s="191">
        <v>316105</v>
      </c>
      <c r="C40" s="191">
        <f t="shared" si="4"/>
        <v>19546</v>
      </c>
      <c r="D40" s="191">
        <v>335651</v>
      </c>
      <c r="E40" s="193"/>
      <c r="F40" s="191">
        <v>49561810</v>
      </c>
      <c r="G40" s="191">
        <f t="shared" si="5"/>
        <v>610647</v>
      </c>
      <c r="H40" s="193">
        <v>50172457</v>
      </c>
      <c r="I40" s="193"/>
      <c r="J40" s="191">
        <v>151957.535</v>
      </c>
      <c r="K40" s="191">
        <f t="shared" si="6"/>
        <v>20982.46299999999</v>
      </c>
      <c r="L40" s="191">
        <v>172939.998</v>
      </c>
    </row>
    <row r="41" spans="1:12" s="41" customFormat="1" ht="12.75">
      <c r="A41" s="47"/>
      <c r="B41" s="68"/>
      <c r="C41" s="68"/>
      <c r="D41" s="37"/>
      <c r="E41" s="39"/>
      <c r="F41" s="68"/>
      <c r="G41" s="68"/>
      <c r="H41" s="68"/>
      <c r="I41" s="39"/>
      <c r="J41" s="39"/>
      <c r="K41" s="39"/>
      <c r="L41" s="146"/>
    </row>
    <row r="42" spans="1:12" ht="12.75">
      <c r="A42" s="33"/>
      <c r="B42" s="46"/>
      <c r="C42" s="46"/>
      <c r="D42" s="7"/>
      <c r="E42" s="8"/>
      <c r="F42" s="46"/>
      <c r="G42" s="46"/>
      <c r="H42" s="46"/>
      <c r="I42" s="8"/>
      <c r="J42" s="8"/>
      <c r="K42" s="8"/>
      <c r="L42" s="8"/>
    </row>
    <row r="43" spans="1:12" ht="12.75">
      <c r="A43" s="27"/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22"/>
    </row>
    <row r="44" spans="1:12" ht="12.75">
      <c r="A44" s="27"/>
      <c r="B44" s="22"/>
      <c r="C44" s="22"/>
      <c r="D44" s="22"/>
      <c r="E44" s="23"/>
      <c r="F44" s="22"/>
      <c r="G44" s="22"/>
      <c r="H44" s="22"/>
      <c r="I44" s="23"/>
      <c r="J44" s="22"/>
      <c r="K44" s="22"/>
      <c r="L44" s="151"/>
    </row>
    <row r="45" spans="1:12" ht="16.5" customHeight="1">
      <c r="A45" s="196"/>
      <c r="B45" s="197" t="s">
        <v>0</v>
      </c>
      <c r="C45" s="197"/>
      <c r="D45" s="197"/>
      <c r="E45" s="198"/>
      <c r="F45" s="197" t="s">
        <v>37</v>
      </c>
      <c r="G45" s="197"/>
      <c r="H45" s="197"/>
      <c r="I45" s="198"/>
      <c r="J45" s="197" t="s">
        <v>10</v>
      </c>
      <c r="K45" s="197"/>
      <c r="L45" s="197"/>
    </row>
    <row r="46" spans="1:12" s="41" customFormat="1" ht="18" customHeight="1">
      <c r="A46" s="203"/>
      <c r="B46" s="185" t="s">
        <v>14</v>
      </c>
      <c r="C46" s="185" t="s">
        <v>15</v>
      </c>
      <c r="D46" s="185" t="s">
        <v>1</v>
      </c>
      <c r="E46" s="187"/>
      <c r="F46" s="185" t="s">
        <v>14</v>
      </c>
      <c r="G46" s="185" t="s">
        <v>15</v>
      </c>
      <c r="H46" s="185" t="s">
        <v>1</v>
      </c>
      <c r="I46" s="187"/>
      <c r="J46" s="185" t="s">
        <v>14</v>
      </c>
      <c r="K46" s="185" t="s">
        <v>15</v>
      </c>
      <c r="L46" s="185" t="s">
        <v>1</v>
      </c>
    </row>
    <row r="47" spans="2:12" s="41" customFormat="1" ht="12.7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s="41" customFormat="1" ht="12.75" hidden="1">
      <c r="A48" s="48">
        <v>1986</v>
      </c>
      <c r="B48" s="42">
        <v>47252</v>
      </c>
      <c r="C48" s="42">
        <v>27254</v>
      </c>
      <c r="D48" s="62">
        <f aca="true" t="shared" si="7" ref="D48:D70">B48+C48</f>
        <v>74506</v>
      </c>
      <c r="E48" s="69"/>
      <c r="F48" s="42">
        <v>3876</v>
      </c>
      <c r="G48" s="42">
        <v>2221</v>
      </c>
      <c r="H48" s="62">
        <f>F48+G48</f>
        <v>6097</v>
      </c>
      <c r="I48" s="42"/>
      <c r="J48" s="42">
        <v>28132</v>
      </c>
      <c r="K48" s="70">
        <v>18922</v>
      </c>
      <c r="L48" s="62">
        <f aca="true" t="shared" si="8" ref="L48:L72">J48+K48</f>
        <v>47054</v>
      </c>
    </row>
    <row r="49" spans="1:12" s="41" customFormat="1" ht="12.75">
      <c r="A49" s="48">
        <v>1987</v>
      </c>
      <c r="B49" s="42">
        <v>50893</v>
      </c>
      <c r="C49" s="42">
        <v>26123</v>
      </c>
      <c r="D49" s="62">
        <f t="shared" si="7"/>
        <v>77016</v>
      </c>
      <c r="E49" s="69"/>
      <c r="F49" s="42">
        <v>4335</v>
      </c>
      <c r="G49" s="42">
        <v>2326</v>
      </c>
      <c r="H49" s="42">
        <f>SUM(F49:G49)</f>
        <v>6661</v>
      </c>
      <c r="I49" s="42"/>
      <c r="J49" s="42">
        <v>24459</v>
      </c>
      <c r="K49" s="70">
        <v>20595</v>
      </c>
      <c r="L49" s="62">
        <f t="shared" si="8"/>
        <v>45054</v>
      </c>
    </row>
    <row r="50" spans="1:12" s="41" customFormat="1" ht="12.75">
      <c r="A50" s="204">
        <v>1988</v>
      </c>
      <c r="B50" s="191">
        <v>61427</v>
      </c>
      <c r="C50" s="191">
        <v>34836</v>
      </c>
      <c r="D50" s="193">
        <f t="shared" si="7"/>
        <v>96263</v>
      </c>
      <c r="E50" s="205"/>
      <c r="F50" s="191">
        <v>4752</v>
      </c>
      <c r="G50" s="191">
        <v>2482</v>
      </c>
      <c r="H50" s="191">
        <f aca="true" t="shared" si="9" ref="H50:H60">SUM(F50:G50)</f>
        <v>7234</v>
      </c>
      <c r="I50" s="191"/>
      <c r="J50" s="191">
        <v>30575</v>
      </c>
      <c r="K50" s="206">
        <v>25067</v>
      </c>
      <c r="L50" s="193">
        <f t="shared" si="8"/>
        <v>55642</v>
      </c>
    </row>
    <row r="51" spans="1:12" s="41" customFormat="1" ht="12.75">
      <c r="A51" s="48">
        <v>1989</v>
      </c>
      <c r="B51" s="42">
        <v>61271</v>
      </c>
      <c r="C51" s="42">
        <v>44858</v>
      </c>
      <c r="D51" s="62">
        <f t="shared" si="7"/>
        <v>106129</v>
      </c>
      <c r="E51" s="69"/>
      <c r="F51" s="42">
        <v>5144</v>
      </c>
      <c r="G51" s="42">
        <v>3002</v>
      </c>
      <c r="H51" s="42">
        <f t="shared" si="9"/>
        <v>8146</v>
      </c>
      <c r="I51" s="42"/>
      <c r="J51" s="42">
        <v>33687</v>
      </c>
      <c r="K51" s="70">
        <v>27634</v>
      </c>
      <c r="L51" s="62">
        <f t="shared" si="8"/>
        <v>61321</v>
      </c>
    </row>
    <row r="52" spans="1:12" s="41" customFormat="1" ht="12.75">
      <c r="A52" s="204">
        <v>1990</v>
      </c>
      <c r="B52" s="191">
        <v>59955</v>
      </c>
      <c r="C52" s="191">
        <v>57776</v>
      </c>
      <c r="D52" s="193">
        <f t="shared" si="7"/>
        <v>117731</v>
      </c>
      <c r="E52" s="205"/>
      <c r="F52" s="191">
        <v>5654</v>
      </c>
      <c r="G52" s="191">
        <v>3388</v>
      </c>
      <c r="H52" s="191">
        <f t="shared" si="9"/>
        <v>9042</v>
      </c>
      <c r="I52" s="191"/>
      <c r="J52" s="191">
        <v>34942</v>
      </c>
      <c r="K52" s="206">
        <v>31557</v>
      </c>
      <c r="L52" s="193">
        <f t="shared" si="8"/>
        <v>66499</v>
      </c>
    </row>
    <row r="53" spans="1:12" s="41" customFormat="1" ht="12.75">
      <c r="A53" s="48">
        <v>1991</v>
      </c>
      <c r="B53" s="42">
        <v>63807</v>
      </c>
      <c r="C53" s="42">
        <v>59242</v>
      </c>
      <c r="D53" s="62">
        <f t="shared" si="7"/>
        <v>123049</v>
      </c>
      <c r="E53" s="69"/>
      <c r="F53" s="42">
        <v>5707</v>
      </c>
      <c r="G53" s="42">
        <v>3254</v>
      </c>
      <c r="H53" s="42">
        <f t="shared" si="9"/>
        <v>8961</v>
      </c>
      <c r="I53" s="42"/>
      <c r="J53" s="42">
        <v>30306</v>
      </c>
      <c r="K53" s="70">
        <v>32357</v>
      </c>
      <c r="L53" s="62">
        <f t="shared" si="8"/>
        <v>62663</v>
      </c>
    </row>
    <row r="54" spans="1:12" s="41" customFormat="1" ht="12.75">
      <c r="A54" s="204">
        <v>1992</v>
      </c>
      <c r="B54" s="191">
        <v>68053</v>
      </c>
      <c r="C54" s="191">
        <v>68028</v>
      </c>
      <c r="D54" s="193">
        <f t="shared" si="7"/>
        <v>136081</v>
      </c>
      <c r="E54" s="205"/>
      <c r="F54" s="191">
        <v>6123</v>
      </c>
      <c r="G54" s="191">
        <v>3916</v>
      </c>
      <c r="H54" s="191">
        <f t="shared" si="9"/>
        <v>10039</v>
      </c>
      <c r="I54" s="191"/>
      <c r="J54" s="191">
        <v>34157</v>
      </c>
      <c r="K54" s="206">
        <v>37263</v>
      </c>
      <c r="L54" s="193">
        <f t="shared" si="8"/>
        <v>71420</v>
      </c>
    </row>
    <row r="55" spans="1:12" s="41" customFormat="1" ht="12.75">
      <c r="A55" s="48">
        <v>1993</v>
      </c>
      <c r="B55" s="42">
        <v>65144</v>
      </c>
      <c r="C55" s="42">
        <v>68398</v>
      </c>
      <c r="D55" s="62">
        <f t="shared" si="7"/>
        <v>133542</v>
      </c>
      <c r="E55" s="69"/>
      <c r="F55" s="42">
        <v>5706</v>
      </c>
      <c r="G55" s="42">
        <v>3949</v>
      </c>
      <c r="H55" s="42">
        <f t="shared" si="9"/>
        <v>9655</v>
      </c>
      <c r="I55" s="42"/>
      <c r="J55" s="42">
        <v>29637</v>
      </c>
      <c r="K55" s="70">
        <v>27841</v>
      </c>
      <c r="L55" s="62">
        <f t="shared" si="8"/>
        <v>57478</v>
      </c>
    </row>
    <row r="56" spans="1:12" s="41" customFormat="1" ht="12.75">
      <c r="A56" s="204">
        <v>1994</v>
      </c>
      <c r="B56" s="193">
        <v>73591</v>
      </c>
      <c r="C56" s="193">
        <v>68467</v>
      </c>
      <c r="D56" s="193">
        <f t="shared" si="7"/>
        <v>142058</v>
      </c>
      <c r="E56" s="205"/>
      <c r="F56" s="193">
        <v>6094</v>
      </c>
      <c r="G56" s="193">
        <v>4202</v>
      </c>
      <c r="H56" s="191">
        <f t="shared" si="9"/>
        <v>10296</v>
      </c>
      <c r="I56" s="193"/>
      <c r="J56" s="193">
        <v>27833</v>
      </c>
      <c r="K56" s="207">
        <v>31051</v>
      </c>
      <c r="L56" s="193">
        <f t="shared" si="8"/>
        <v>58884</v>
      </c>
    </row>
    <row r="57" spans="1:12" s="41" customFormat="1" ht="12.75">
      <c r="A57" s="48">
        <v>1995</v>
      </c>
      <c r="B57" s="62">
        <v>79904</v>
      </c>
      <c r="C57" s="62">
        <v>72116</v>
      </c>
      <c r="D57" s="62">
        <f t="shared" si="7"/>
        <v>152020</v>
      </c>
      <c r="E57" s="69"/>
      <c r="F57" s="62">
        <v>6740</v>
      </c>
      <c r="G57" s="62">
        <v>4573</v>
      </c>
      <c r="H57" s="42">
        <f t="shared" si="9"/>
        <v>11313</v>
      </c>
      <c r="I57" s="62"/>
      <c r="J57" s="62">
        <v>31101</v>
      </c>
      <c r="K57" s="71">
        <v>37418</v>
      </c>
      <c r="L57" s="62">
        <f t="shared" si="8"/>
        <v>68519</v>
      </c>
    </row>
    <row r="58" spans="1:12" s="41" customFormat="1" ht="12.75">
      <c r="A58" s="204">
        <v>1996</v>
      </c>
      <c r="B58" s="193">
        <v>91495</v>
      </c>
      <c r="C58" s="193">
        <v>85263</v>
      </c>
      <c r="D58" s="193">
        <f t="shared" si="7"/>
        <v>176758</v>
      </c>
      <c r="E58" s="205"/>
      <c r="F58" s="193">
        <v>7563</v>
      </c>
      <c r="G58" s="193">
        <v>5356</v>
      </c>
      <c r="H58" s="191">
        <f t="shared" si="9"/>
        <v>12919</v>
      </c>
      <c r="I58" s="193"/>
      <c r="J58" s="193">
        <v>32121</v>
      </c>
      <c r="K58" s="207">
        <v>44527</v>
      </c>
      <c r="L58" s="193">
        <f t="shared" si="8"/>
        <v>76648</v>
      </c>
    </row>
    <row r="59" spans="1:12" s="41" customFormat="1" ht="12.75">
      <c r="A59" s="48">
        <v>1997</v>
      </c>
      <c r="B59" s="72">
        <v>111442</v>
      </c>
      <c r="C59" s="72">
        <v>95487</v>
      </c>
      <c r="D59" s="62">
        <f t="shared" si="7"/>
        <v>206929</v>
      </c>
      <c r="E59" s="69"/>
      <c r="F59" s="72">
        <f>8301094/1000</f>
        <v>8301.094</v>
      </c>
      <c r="G59" s="72">
        <f>6261404/1000</f>
        <v>6261.404</v>
      </c>
      <c r="H59" s="42">
        <f t="shared" si="9"/>
        <v>14562.498</v>
      </c>
      <c r="I59" s="72"/>
      <c r="J59" s="72">
        <v>32369</v>
      </c>
      <c r="K59" s="73">
        <v>45562</v>
      </c>
      <c r="L59" s="62">
        <f t="shared" si="8"/>
        <v>77931</v>
      </c>
    </row>
    <row r="60" spans="1:12" s="41" customFormat="1" ht="12.75">
      <c r="A60" s="204">
        <v>1998</v>
      </c>
      <c r="B60" s="208">
        <v>110552</v>
      </c>
      <c r="C60" s="208">
        <v>101806</v>
      </c>
      <c r="D60" s="193">
        <f t="shared" si="7"/>
        <v>212358</v>
      </c>
      <c r="E60" s="205"/>
      <c r="F60" s="208">
        <v>8674</v>
      </c>
      <c r="G60" s="193">
        <v>7071</v>
      </c>
      <c r="H60" s="191">
        <f t="shared" si="9"/>
        <v>15745</v>
      </c>
      <c r="I60" s="208"/>
      <c r="J60" s="208">
        <v>31802</v>
      </c>
      <c r="K60" s="209">
        <v>45212</v>
      </c>
      <c r="L60" s="193">
        <f t="shared" si="8"/>
        <v>77014</v>
      </c>
    </row>
    <row r="61" spans="1:12" s="41" customFormat="1" ht="12.75">
      <c r="A61" s="48">
        <v>1999</v>
      </c>
      <c r="B61" s="72">
        <v>117803</v>
      </c>
      <c r="C61" s="72">
        <v>110835</v>
      </c>
      <c r="D61" s="62">
        <f t="shared" si="7"/>
        <v>228638</v>
      </c>
      <c r="E61" s="69"/>
      <c r="F61" s="72">
        <v>9049</v>
      </c>
      <c r="G61" s="62">
        <v>8079.7</v>
      </c>
      <c r="H61" s="42">
        <f aca="true" t="shared" si="10" ref="H61:H72">SUM(F61:G61)</f>
        <v>17128.7</v>
      </c>
      <c r="I61" s="72"/>
      <c r="J61" s="72">
        <f>32920.2</f>
        <v>32920.2</v>
      </c>
      <c r="K61" s="73">
        <v>53253.1</v>
      </c>
      <c r="L61" s="62">
        <f t="shared" si="8"/>
        <v>86173.29999999999</v>
      </c>
    </row>
    <row r="62" spans="1:12" s="41" customFormat="1" ht="12.75">
      <c r="A62" s="204">
        <v>2000</v>
      </c>
      <c r="B62" s="208">
        <v>121398</v>
      </c>
      <c r="C62" s="208">
        <v>130798</v>
      </c>
      <c r="D62" s="193">
        <f t="shared" si="7"/>
        <v>252196</v>
      </c>
      <c r="E62" s="205"/>
      <c r="F62" s="208">
        <v>9988.206</v>
      </c>
      <c r="G62" s="193">
        <v>9387.132</v>
      </c>
      <c r="H62" s="191">
        <f t="shared" si="10"/>
        <v>19375.338</v>
      </c>
      <c r="I62" s="208"/>
      <c r="J62" s="208">
        <v>32333.012</v>
      </c>
      <c r="K62" s="209">
        <v>54975.454</v>
      </c>
      <c r="L62" s="193">
        <f t="shared" si="8"/>
        <v>87308.466</v>
      </c>
    </row>
    <row r="63" spans="1:12" s="41" customFormat="1" ht="12.75">
      <c r="A63" s="48">
        <v>2001</v>
      </c>
      <c r="B63" s="72">
        <v>128390</v>
      </c>
      <c r="C63" s="72">
        <v>139746</v>
      </c>
      <c r="D63" s="62">
        <f t="shared" si="7"/>
        <v>268136</v>
      </c>
      <c r="E63" s="69"/>
      <c r="F63" s="72">
        <v>10075.536</v>
      </c>
      <c r="G63" s="62">
        <v>10470.144</v>
      </c>
      <c r="H63" s="42">
        <f t="shared" si="10"/>
        <v>20545.68</v>
      </c>
      <c r="I63" s="72"/>
      <c r="J63" s="72">
        <v>26586.787</v>
      </c>
      <c r="K63" s="73">
        <v>50378.848</v>
      </c>
      <c r="L63" s="62">
        <f t="shared" si="8"/>
        <v>76965.635</v>
      </c>
    </row>
    <row r="64" spans="1:12" s="41" customFormat="1" ht="12.75">
      <c r="A64" s="204">
        <v>2002</v>
      </c>
      <c r="B64" s="208">
        <v>121800</v>
      </c>
      <c r="C64" s="208">
        <v>143663</v>
      </c>
      <c r="D64" s="193">
        <f t="shared" si="7"/>
        <v>265463</v>
      </c>
      <c r="E64" s="205"/>
      <c r="F64" s="208">
        <v>9975.951</v>
      </c>
      <c r="G64" s="193">
        <v>11193.046</v>
      </c>
      <c r="H64" s="191">
        <f t="shared" si="10"/>
        <v>21168.997</v>
      </c>
      <c r="I64" s="208"/>
      <c r="J64" s="208">
        <v>24784.597</v>
      </c>
      <c r="K64" s="209">
        <v>50432.789</v>
      </c>
      <c r="L64" s="193">
        <f t="shared" si="8"/>
        <v>75217.386</v>
      </c>
    </row>
    <row r="65" spans="1:12" s="41" customFormat="1" ht="12.75">
      <c r="A65" s="48">
        <v>2003</v>
      </c>
      <c r="B65" s="72">
        <v>126409</v>
      </c>
      <c r="C65" s="72">
        <v>149805</v>
      </c>
      <c r="D65" s="62">
        <f t="shared" si="7"/>
        <v>276214</v>
      </c>
      <c r="E65" s="69"/>
      <c r="F65" s="72">
        <v>10602.267</v>
      </c>
      <c r="G65" s="62">
        <v>11939.357</v>
      </c>
      <c r="H65" s="42">
        <f t="shared" si="10"/>
        <v>22541.624</v>
      </c>
      <c r="I65" s="72"/>
      <c r="J65" s="72">
        <v>22370.545</v>
      </c>
      <c r="K65" s="73">
        <v>47745.11</v>
      </c>
      <c r="L65" s="62">
        <f t="shared" si="8"/>
        <v>70115.655</v>
      </c>
    </row>
    <row r="66" spans="1:12" s="41" customFormat="1" ht="12.75">
      <c r="A66" s="204">
        <v>2004</v>
      </c>
      <c r="B66" s="208">
        <v>131406</v>
      </c>
      <c r="C66" s="208">
        <v>152837</v>
      </c>
      <c r="D66" s="193">
        <f t="shared" si="7"/>
        <v>284243</v>
      </c>
      <c r="E66" s="205"/>
      <c r="F66" s="208">
        <v>11477.278</v>
      </c>
      <c r="G66" s="193">
        <v>12886.016</v>
      </c>
      <c r="H66" s="191">
        <f t="shared" si="10"/>
        <v>24363.294</v>
      </c>
      <c r="I66" s="208"/>
      <c r="J66" s="208">
        <v>23747.326</v>
      </c>
      <c r="K66" s="209">
        <v>58161.09</v>
      </c>
      <c r="L66" s="193">
        <f t="shared" si="8"/>
        <v>81908.416</v>
      </c>
    </row>
    <row r="67" spans="1:12" s="41" customFormat="1" ht="12.75">
      <c r="A67" s="48">
        <v>2005</v>
      </c>
      <c r="B67" s="72">
        <v>146113</v>
      </c>
      <c r="C67" s="72">
        <v>154141</v>
      </c>
      <c r="D67" s="62">
        <f t="shared" si="7"/>
        <v>300254</v>
      </c>
      <c r="E67" s="69"/>
      <c r="F67" s="72">
        <v>13367.59</v>
      </c>
      <c r="G67" s="62">
        <v>13573.625</v>
      </c>
      <c r="H67" s="42">
        <f t="shared" si="10"/>
        <v>26941.215</v>
      </c>
      <c r="I67" s="72"/>
      <c r="J67" s="72">
        <v>22549.236</v>
      </c>
      <c r="K67" s="73">
        <v>67690.179</v>
      </c>
      <c r="L67" s="62">
        <f t="shared" si="8"/>
        <v>90239.41500000001</v>
      </c>
    </row>
    <row r="68" spans="1:12" s="41" customFormat="1" ht="12.75">
      <c r="A68" s="204">
        <v>2006</v>
      </c>
      <c r="B68" s="208">
        <v>155589</v>
      </c>
      <c r="C68" s="208">
        <v>163919</v>
      </c>
      <c r="D68" s="193">
        <f t="shared" si="7"/>
        <v>319508</v>
      </c>
      <c r="E68" s="205"/>
      <c r="F68" s="208">
        <v>14370.238</v>
      </c>
      <c r="G68" s="193">
        <v>15465.475</v>
      </c>
      <c r="H68" s="191">
        <f t="shared" si="10"/>
        <v>29835.713</v>
      </c>
      <c r="I68" s="208"/>
      <c r="J68" s="208">
        <v>20180.074</v>
      </c>
      <c r="K68" s="209">
        <v>73075.883</v>
      </c>
      <c r="L68" s="193">
        <f t="shared" si="8"/>
        <v>93255.957</v>
      </c>
    </row>
    <row r="69" spans="1:12" s="41" customFormat="1" ht="12.75">
      <c r="A69" s="48">
        <v>2007</v>
      </c>
      <c r="B69" s="72">
        <v>169588</v>
      </c>
      <c r="C69" s="72">
        <v>182913</v>
      </c>
      <c r="D69" s="62">
        <f t="shared" si="7"/>
        <v>352501</v>
      </c>
      <c r="E69" s="69"/>
      <c r="F69" s="72">
        <v>15185.127</v>
      </c>
      <c r="G69" s="62">
        <v>17626.76</v>
      </c>
      <c r="H69" s="42">
        <f t="shared" si="10"/>
        <v>32811.887</v>
      </c>
      <c r="I69" s="72"/>
      <c r="J69" s="72">
        <v>16138.812</v>
      </c>
      <c r="K69" s="73">
        <v>80647.873</v>
      </c>
      <c r="L69" s="62">
        <f t="shared" si="8"/>
        <v>96786.68500000001</v>
      </c>
    </row>
    <row r="70" spans="1:12" s="41" customFormat="1" ht="12.75">
      <c r="A70" s="204">
        <v>2008</v>
      </c>
      <c r="B70" s="208">
        <v>146463</v>
      </c>
      <c r="C70" s="208">
        <v>175028</v>
      </c>
      <c r="D70" s="193">
        <f t="shared" si="7"/>
        <v>321491</v>
      </c>
      <c r="E70" s="205"/>
      <c r="F70" s="208">
        <v>12777.072</v>
      </c>
      <c r="G70" s="193">
        <v>17409.354</v>
      </c>
      <c r="H70" s="191">
        <f t="shared" si="10"/>
        <v>30186.426</v>
      </c>
      <c r="I70" s="208"/>
      <c r="J70" s="208">
        <v>13072.209</v>
      </c>
      <c r="K70" s="209">
        <v>91168.138</v>
      </c>
      <c r="L70" s="193">
        <f t="shared" si="8"/>
        <v>104240.34700000001</v>
      </c>
    </row>
    <row r="71" spans="1:12" s="41" customFormat="1" ht="12.75">
      <c r="A71" s="48">
        <v>2009</v>
      </c>
      <c r="B71" s="110">
        <v>124152</v>
      </c>
      <c r="C71" s="72">
        <f aca="true" t="shared" si="11" ref="C71:C80">D71-B71</f>
        <v>154829</v>
      </c>
      <c r="D71" s="110">
        <v>278981</v>
      </c>
      <c r="E71" s="69"/>
      <c r="F71" s="72">
        <v>11196</v>
      </c>
      <c r="G71" s="62">
        <v>16109</v>
      </c>
      <c r="H71" s="42">
        <f t="shared" si="10"/>
        <v>27305</v>
      </c>
      <c r="I71" s="72"/>
      <c r="J71" s="72">
        <v>10486</v>
      </c>
      <c r="K71" s="73">
        <v>79174</v>
      </c>
      <c r="L71" s="62">
        <f t="shared" si="8"/>
        <v>89660</v>
      </c>
    </row>
    <row r="72" spans="1:12" s="41" customFormat="1" ht="12.75">
      <c r="A72" s="204">
        <v>2010</v>
      </c>
      <c r="B72" s="210">
        <v>117321</v>
      </c>
      <c r="C72" s="208">
        <f t="shared" si="11"/>
        <v>160511</v>
      </c>
      <c r="D72" s="210">
        <v>277832</v>
      </c>
      <c r="E72" s="205"/>
      <c r="F72" s="210">
        <v>11632</v>
      </c>
      <c r="G72" s="210">
        <v>17578</v>
      </c>
      <c r="H72" s="191">
        <f t="shared" si="10"/>
        <v>29210</v>
      </c>
      <c r="I72" s="208"/>
      <c r="J72" s="208">
        <v>10802</v>
      </c>
      <c r="K72" s="209">
        <v>93477</v>
      </c>
      <c r="L72" s="193">
        <f t="shared" si="8"/>
        <v>104279</v>
      </c>
    </row>
    <row r="73" spans="1:12" s="41" customFormat="1" ht="12.75">
      <c r="A73" s="48">
        <v>2011</v>
      </c>
      <c r="B73" s="110">
        <v>120703</v>
      </c>
      <c r="C73" s="72">
        <f t="shared" si="11"/>
        <v>182351</v>
      </c>
      <c r="D73" s="110">
        <v>303054</v>
      </c>
      <c r="E73" s="69"/>
      <c r="F73" s="110">
        <v>12683</v>
      </c>
      <c r="G73" s="110">
        <f aca="true" t="shared" si="12" ref="G73:G80">H73-F73</f>
        <v>21715</v>
      </c>
      <c r="H73" s="42">
        <v>34398</v>
      </c>
      <c r="I73" s="72"/>
      <c r="J73" s="72">
        <v>11480</v>
      </c>
      <c r="K73" s="73">
        <f aca="true" t="shared" si="13" ref="K73:K79">L73-J73</f>
        <v>89545</v>
      </c>
      <c r="L73" s="62">
        <v>101025</v>
      </c>
    </row>
    <row r="74" spans="1:12" s="41" customFormat="1" ht="12.75">
      <c r="A74" s="204">
        <v>2012</v>
      </c>
      <c r="B74" s="210">
        <v>101746</v>
      </c>
      <c r="C74" s="208">
        <f t="shared" si="11"/>
        <v>188258</v>
      </c>
      <c r="D74" s="210">
        <v>290004</v>
      </c>
      <c r="E74" s="205"/>
      <c r="F74" s="210">
        <v>11465</v>
      </c>
      <c r="G74" s="210">
        <f t="shared" si="12"/>
        <v>23680</v>
      </c>
      <c r="H74" s="191">
        <v>35145</v>
      </c>
      <c r="I74" s="208"/>
      <c r="J74" s="208">
        <v>9494</v>
      </c>
      <c r="K74" s="209">
        <f t="shared" si="13"/>
        <v>90853</v>
      </c>
      <c r="L74" s="193">
        <v>100347</v>
      </c>
    </row>
    <row r="75" spans="1:12" s="41" customFormat="1" ht="12.75">
      <c r="A75" s="48">
        <v>2013</v>
      </c>
      <c r="B75" s="110">
        <v>83769</v>
      </c>
      <c r="C75" s="72">
        <f t="shared" si="11"/>
        <v>192727</v>
      </c>
      <c r="D75" s="110">
        <v>276496</v>
      </c>
      <c r="E75" s="69"/>
      <c r="F75" s="110">
        <v>10180.449</v>
      </c>
      <c r="G75" s="110">
        <f t="shared" si="12"/>
        <v>25030.286</v>
      </c>
      <c r="H75" s="42">
        <v>35210.735</v>
      </c>
      <c r="I75" s="72"/>
      <c r="J75" s="72">
        <v>6390.968</v>
      </c>
      <c r="K75" s="73">
        <f t="shared" si="13"/>
        <v>94035.81300000001</v>
      </c>
      <c r="L75" s="62">
        <v>100426.781</v>
      </c>
    </row>
    <row r="76" spans="1:12" s="41" customFormat="1" ht="12.75">
      <c r="A76" s="204">
        <v>2014</v>
      </c>
      <c r="B76" s="210">
        <v>82335</v>
      </c>
      <c r="C76" s="208">
        <f t="shared" si="11"/>
        <v>201515</v>
      </c>
      <c r="D76" s="210">
        <v>283850</v>
      </c>
      <c r="E76" s="205"/>
      <c r="F76" s="210">
        <v>10282.598</v>
      </c>
      <c r="G76" s="210">
        <f t="shared" si="12"/>
        <v>27276.446000000004</v>
      </c>
      <c r="H76" s="191">
        <v>37559.044</v>
      </c>
      <c r="I76" s="208"/>
      <c r="J76" s="208">
        <v>5511.433</v>
      </c>
      <c r="K76" s="209">
        <f t="shared" si="13"/>
        <v>97205.321</v>
      </c>
      <c r="L76" s="193">
        <v>102716.754</v>
      </c>
    </row>
    <row r="77" spans="1:12" s="41" customFormat="1" ht="12.75">
      <c r="A77" s="48">
        <v>2015</v>
      </c>
      <c r="B77" s="110">
        <v>80528</v>
      </c>
      <c r="C77" s="72">
        <f t="shared" si="11"/>
        <v>208351</v>
      </c>
      <c r="D77" s="110">
        <v>288879</v>
      </c>
      <c r="E77" s="69"/>
      <c r="F77" s="110">
        <v>10608.091</v>
      </c>
      <c r="G77" s="110">
        <f t="shared" si="12"/>
        <v>29103.146</v>
      </c>
      <c r="H77" s="42">
        <v>39711.237</v>
      </c>
      <c r="I77" s="72"/>
      <c r="J77" s="72">
        <v>5264.578</v>
      </c>
      <c r="K77" s="73">
        <f t="shared" si="13"/>
        <v>111954.804</v>
      </c>
      <c r="L77" s="62">
        <v>117219.382</v>
      </c>
    </row>
    <row r="78" spans="1:12" s="41" customFormat="1" ht="12.75">
      <c r="A78" s="204">
        <v>2016</v>
      </c>
      <c r="B78" s="210">
        <v>85461</v>
      </c>
      <c r="C78" s="208">
        <f t="shared" si="11"/>
        <v>222403</v>
      </c>
      <c r="D78" s="210">
        <v>307864</v>
      </c>
      <c r="E78" s="205"/>
      <c r="F78" s="210">
        <v>11816.323</v>
      </c>
      <c r="G78" s="210">
        <f t="shared" si="12"/>
        <v>32338.37</v>
      </c>
      <c r="H78" s="191">
        <v>44154.693</v>
      </c>
      <c r="I78" s="208"/>
      <c r="J78" s="208">
        <v>6607.266</v>
      </c>
      <c r="K78" s="209">
        <f t="shared" si="13"/>
        <v>126149.95499999999</v>
      </c>
      <c r="L78" s="193">
        <v>132757.221</v>
      </c>
    </row>
    <row r="79" spans="1:12" s="41" customFormat="1" ht="12.75">
      <c r="A79" s="270">
        <v>2017</v>
      </c>
      <c r="B79" s="271">
        <v>91594</v>
      </c>
      <c r="C79" s="272">
        <f t="shared" si="11"/>
        <v>231945</v>
      </c>
      <c r="D79" s="271">
        <v>323539</v>
      </c>
      <c r="E79" s="273"/>
      <c r="F79" s="271">
        <v>12723.537</v>
      </c>
      <c r="G79" s="271">
        <f t="shared" si="12"/>
        <v>34560.963</v>
      </c>
      <c r="H79" s="145">
        <v>47284.5</v>
      </c>
      <c r="I79" s="272"/>
      <c r="J79" s="272">
        <v>6985.995</v>
      </c>
      <c r="K79" s="274">
        <f t="shared" si="13"/>
        <v>149119.309</v>
      </c>
      <c r="L79" s="145">
        <v>156105.304</v>
      </c>
    </row>
    <row r="80" spans="1:12" s="41" customFormat="1" ht="12.75">
      <c r="A80" s="204">
        <v>2018</v>
      </c>
      <c r="B80" s="210">
        <v>94361</v>
      </c>
      <c r="C80" s="208">
        <f t="shared" si="11"/>
        <v>241290</v>
      </c>
      <c r="D80" s="210">
        <v>335651</v>
      </c>
      <c r="E80" s="205"/>
      <c r="F80" s="210">
        <v>13452.881</v>
      </c>
      <c r="G80" s="210">
        <f t="shared" si="12"/>
        <v>36719.576</v>
      </c>
      <c r="H80" s="191">
        <v>50172.457</v>
      </c>
      <c r="I80" s="208"/>
      <c r="J80" s="208">
        <v>7386.196</v>
      </c>
      <c r="K80" s="209">
        <f>L80-J80</f>
        <v>165553.802</v>
      </c>
      <c r="L80" s="193">
        <v>172939.998</v>
      </c>
    </row>
    <row r="81" spans="1:12" s="41" customFormat="1" ht="12.75">
      <c r="A81" s="49"/>
      <c r="B81" s="49"/>
      <c r="C81" s="49"/>
      <c r="D81" s="152"/>
      <c r="E81" s="49"/>
      <c r="F81" s="49"/>
      <c r="G81" s="49"/>
      <c r="H81" s="49"/>
      <c r="I81" s="49"/>
      <c r="J81" s="49"/>
      <c r="K81" s="49"/>
      <c r="L81" s="49"/>
    </row>
    <row r="82" spans="1:12" ht="15" customHeight="1">
      <c r="A82" s="160" t="s">
        <v>77</v>
      </c>
      <c r="D82" s="50"/>
      <c r="H82" s="50"/>
      <c r="L82" s="50"/>
    </row>
    <row r="83" spans="1:21" ht="27.75" customHeight="1">
      <c r="A83" s="351" t="s">
        <v>163</v>
      </c>
      <c r="B83" s="352"/>
      <c r="C83" s="352"/>
      <c r="D83" s="352"/>
      <c r="E83" s="352"/>
      <c r="F83" s="352"/>
      <c r="G83" s="352"/>
      <c r="H83" s="352"/>
      <c r="I83" s="352"/>
      <c r="J83" s="352"/>
      <c r="K83" s="352"/>
      <c r="L83" s="352"/>
      <c r="M83" s="118"/>
      <c r="N83" s="118"/>
      <c r="O83" s="118"/>
      <c r="P83" s="118"/>
      <c r="Q83" s="118"/>
      <c r="R83" s="118"/>
      <c r="S83" s="118"/>
      <c r="T83" s="118"/>
      <c r="U83" s="118"/>
    </row>
    <row r="84" spans="4:12" ht="12.75">
      <c r="D84" s="50"/>
      <c r="H84" s="50"/>
      <c r="L84" s="50"/>
    </row>
    <row r="85" spans="1:12" ht="12.75">
      <c r="A85" s="157" t="s">
        <v>168</v>
      </c>
      <c r="D85" s="50"/>
      <c r="H85" s="50"/>
      <c r="L85" s="50"/>
    </row>
    <row r="86" spans="1:12" ht="12.75">
      <c r="A86" s="157" t="s">
        <v>167</v>
      </c>
      <c r="D86" s="50"/>
      <c r="H86" s="50"/>
      <c r="L86" s="50"/>
    </row>
    <row r="87" spans="4:12" ht="12.75">
      <c r="D87" s="50"/>
      <c r="H87" s="50"/>
      <c r="L87" s="50"/>
    </row>
    <row r="88" spans="4:12" ht="12.75">
      <c r="D88" s="50"/>
      <c r="H88" s="50"/>
      <c r="L88" s="50"/>
    </row>
    <row r="89" spans="4:12" ht="12.75">
      <c r="D89" s="51"/>
      <c r="H89" s="51"/>
      <c r="L89" s="51"/>
    </row>
    <row r="90" spans="4:12" ht="12.75">
      <c r="D90" s="51"/>
      <c r="H90" s="51"/>
      <c r="L90" s="51"/>
    </row>
    <row r="91" spans="4:12" ht="12.75">
      <c r="D91" s="51"/>
      <c r="H91" s="51"/>
      <c r="L91" s="51"/>
    </row>
    <row r="92" spans="4:12" ht="12.75">
      <c r="D92" s="52"/>
      <c r="H92" s="52"/>
      <c r="L92" s="52"/>
    </row>
  </sheetData>
  <sheetProtection/>
  <mergeCells count="1">
    <mergeCell ref="A83:L83"/>
  </mergeCells>
  <printOptions/>
  <pageMargins left="0.1968503937007874" right="0.1968503937007874" top="0.5511811023622047" bottom="0" header="0" footer="0"/>
  <pageSetup fitToHeight="1" fitToWidth="1" horizontalDpi="600" verticalDpi="600" orientation="portrait" paperSize="9" scale="74" r:id="rId1"/>
  <ignoredErrors>
    <ignoredError sqref="B19:L28 D29:L32 H49:H72 D41 E33:F34 E41:F41 C33:C40 E42:F42 D42 G33:G40 G41 K33:K4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4"/>
  <sheetViews>
    <sheetView showGridLines="0" zoomScalePageLayoutView="0" workbookViewId="0" topLeftCell="A1">
      <selection activeCell="K45" sqref="K45"/>
    </sheetView>
  </sheetViews>
  <sheetFormatPr defaultColWidth="11.421875" defaultRowHeight="12.75"/>
  <cols>
    <col min="1" max="1" width="10.57421875" style="0" customWidth="1"/>
    <col min="2" max="8" width="9.7109375" style="0" hidden="1" customWidth="1"/>
    <col min="9" max="15" width="9.7109375" style="0" customWidth="1"/>
    <col min="16" max="16" width="6.28125" style="0" customWidth="1"/>
    <col min="17" max="17" width="2.28125" style="0" customWidth="1"/>
    <col min="18" max="18" width="10.421875" style="0" hidden="1" customWidth="1"/>
    <col min="19" max="23" width="10.28125" style="0" hidden="1" customWidth="1"/>
    <col min="24" max="24" width="9.7109375" style="0" hidden="1" customWidth="1"/>
    <col min="25" max="31" width="9.7109375" style="0" customWidth="1"/>
    <col min="32" max="32" width="6.8515625" style="0" customWidth="1"/>
    <col min="33" max="33" width="2.28125" style="0" customWidth="1"/>
    <col min="34" max="40" width="9.7109375" style="0" hidden="1" customWidth="1"/>
    <col min="41" max="47" width="9.7109375" style="0" customWidth="1"/>
    <col min="48" max="48" width="6.57421875" style="0" customWidth="1"/>
  </cols>
  <sheetData>
    <row r="1" spans="1:47" ht="15">
      <c r="A1" s="1" t="s">
        <v>130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5">
      <c r="A2" s="1" t="s">
        <v>252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8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</row>
    <row r="4" spans="1:48" ht="12.75">
      <c r="A4" s="61"/>
      <c r="B4" s="354" t="s">
        <v>88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61"/>
      <c r="R4" s="354" t="s">
        <v>23</v>
      </c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61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</row>
    <row r="5" spans="1:48" ht="12.75">
      <c r="A5" s="59"/>
      <c r="B5" s="353" t="s">
        <v>24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7"/>
      <c r="R5" s="353" t="s">
        <v>91</v>
      </c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86"/>
      <c r="AH5" s="353" t="s">
        <v>1</v>
      </c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3"/>
      <c r="AU5" s="353"/>
      <c r="AV5" s="353"/>
    </row>
    <row r="6" spans="1:33" ht="12.75">
      <c r="A6" s="14"/>
      <c r="B6" s="79"/>
      <c r="P6" s="111"/>
      <c r="Q6" s="15"/>
      <c r="R6" s="77"/>
      <c r="S6" s="60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15"/>
      <c r="AG6" s="15"/>
    </row>
    <row r="7" spans="1:48" ht="24">
      <c r="A7" s="16"/>
      <c r="B7" s="80">
        <v>2003</v>
      </c>
      <c r="C7" s="82">
        <v>2004</v>
      </c>
      <c r="D7" s="82">
        <v>2005</v>
      </c>
      <c r="E7" s="82">
        <v>2008</v>
      </c>
      <c r="F7" s="82">
        <v>2009</v>
      </c>
      <c r="G7" s="82">
        <v>2010</v>
      </c>
      <c r="H7" s="217">
        <v>2011</v>
      </c>
      <c r="I7" s="217">
        <v>2012</v>
      </c>
      <c r="J7" s="217">
        <v>2013</v>
      </c>
      <c r="K7" s="217">
        <v>2014</v>
      </c>
      <c r="L7" s="217">
        <v>2015</v>
      </c>
      <c r="M7" s="217">
        <v>2016</v>
      </c>
      <c r="N7" s="217">
        <v>2017</v>
      </c>
      <c r="O7" s="217">
        <v>2018</v>
      </c>
      <c r="P7" s="218" t="s">
        <v>254</v>
      </c>
      <c r="Q7" s="37"/>
      <c r="R7" s="87">
        <v>2003</v>
      </c>
      <c r="S7" s="82">
        <v>2004</v>
      </c>
      <c r="T7" s="82">
        <v>2005</v>
      </c>
      <c r="U7" s="82">
        <v>2008</v>
      </c>
      <c r="V7" s="82">
        <v>2009</v>
      </c>
      <c r="W7" s="82">
        <v>2010</v>
      </c>
      <c r="X7" s="217">
        <v>2011</v>
      </c>
      <c r="Y7" s="217">
        <v>2012</v>
      </c>
      <c r="Z7" s="217">
        <v>2013</v>
      </c>
      <c r="AA7" s="217">
        <v>2014</v>
      </c>
      <c r="AB7" s="217">
        <v>2015</v>
      </c>
      <c r="AC7" s="217">
        <v>2016</v>
      </c>
      <c r="AD7" s="217">
        <v>2017</v>
      </c>
      <c r="AE7" s="217">
        <v>2018</v>
      </c>
      <c r="AF7" s="218" t="s">
        <v>254</v>
      </c>
      <c r="AG7" s="38"/>
      <c r="AH7" s="88">
        <v>2003</v>
      </c>
      <c r="AI7" s="89">
        <v>2004</v>
      </c>
      <c r="AJ7" s="89">
        <v>2005</v>
      </c>
      <c r="AK7" s="89">
        <v>2008</v>
      </c>
      <c r="AL7" s="82">
        <v>2009</v>
      </c>
      <c r="AM7" s="82">
        <v>2010</v>
      </c>
      <c r="AN7" s="217">
        <v>2011</v>
      </c>
      <c r="AO7" s="217">
        <v>2012</v>
      </c>
      <c r="AP7" s="217">
        <v>2013</v>
      </c>
      <c r="AQ7" s="217">
        <v>2014</v>
      </c>
      <c r="AR7" s="217">
        <v>2015</v>
      </c>
      <c r="AS7" s="217">
        <v>2016</v>
      </c>
      <c r="AT7" s="217">
        <v>2017</v>
      </c>
      <c r="AU7" s="217">
        <v>2018</v>
      </c>
      <c r="AV7" s="218" t="s">
        <v>254</v>
      </c>
    </row>
    <row r="8" spans="1:48" ht="12.75">
      <c r="A8" s="17"/>
      <c r="B8" s="8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18"/>
    </row>
    <row r="9" spans="1:48" ht="12.75">
      <c r="A9" s="17" t="s">
        <v>25</v>
      </c>
      <c r="B9" s="42">
        <v>321098</v>
      </c>
      <c r="C9" s="42">
        <v>314974</v>
      </c>
      <c r="D9" s="42">
        <v>329048</v>
      </c>
      <c r="E9" s="42">
        <v>383471</v>
      </c>
      <c r="F9" s="42">
        <v>202805</v>
      </c>
      <c r="G9" s="119">
        <v>225775</v>
      </c>
      <c r="H9" s="119">
        <v>218420</v>
      </c>
      <c r="I9" s="119">
        <v>229590</v>
      </c>
      <c r="J9" s="119">
        <v>187363</v>
      </c>
      <c r="K9" s="119">
        <v>161416</v>
      </c>
      <c r="L9" s="119">
        <v>153901</v>
      </c>
      <c r="M9" s="119">
        <v>167914</v>
      </c>
      <c r="N9" s="119">
        <v>174521</v>
      </c>
      <c r="O9" s="119">
        <v>194398</v>
      </c>
      <c r="P9" s="83">
        <f>(O9-N9)/N9</f>
        <v>0.11389460294176632</v>
      </c>
      <c r="Q9" s="74"/>
      <c r="R9" s="42">
        <f>AH9-B9</f>
        <v>446262</v>
      </c>
      <c r="S9" s="42">
        <f>AI9-C9</f>
        <v>457295</v>
      </c>
      <c r="T9" s="42">
        <f>AJ9-D9</f>
        <v>511302</v>
      </c>
      <c r="U9" s="42">
        <f>AK9-E9</f>
        <v>1687812</v>
      </c>
      <c r="V9" s="42">
        <v>509309</v>
      </c>
      <c r="W9" s="42">
        <v>511532</v>
      </c>
      <c r="X9" s="119">
        <f aca="true" t="shared" si="0" ref="X9:AD9">AN9-H9</f>
        <v>606995</v>
      </c>
      <c r="Y9" s="119">
        <f t="shared" si="0"/>
        <v>609377</v>
      </c>
      <c r="Z9" s="119">
        <f t="shared" si="0"/>
        <v>531049</v>
      </c>
      <c r="AA9" s="119">
        <f t="shared" si="0"/>
        <v>508715</v>
      </c>
      <c r="AB9" s="119">
        <f t="shared" si="0"/>
        <v>500792</v>
      </c>
      <c r="AC9" s="119">
        <f t="shared" si="0"/>
        <v>573864</v>
      </c>
      <c r="AD9" s="119">
        <f t="shared" si="0"/>
        <v>639623</v>
      </c>
      <c r="AE9" s="119">
        <f>AU9-O9</f>
        <v>709793</v>
      </c>
      <c r="AF9" s="83">
        <f>(AE9-AD9)/AD9</f>
        <v>0.10970524824779597</v>
      </c>
      <c r="AG9" s="74"/>
      <c r="AH9" s="85">
        <v>767360</v>
      </c>
      <c r="AI9" s="85">
        <v>772269</v>
      </c>
      <c r="AJ9" s="85">
        <v>840350</v>
      </c>
      <c r="AK9" s="85">
        <v>2071283</v>
      </c>
      <c r="AL9" s="85">
        <f>F9+V9</f>
        <v>712114</v>
      </c>
      <c r="AM9" s="85">
        <v>737307</v>
      </c>
      <c r="AN9" s="119">
        <v>825415</v>
      </c>
      <c r="AO9" s="119">
        <v>838967</v>
      </c>
      <c r="AP9" s="119">
        <v>718412</v>
      </c>
      <c r="AQ9" s="119">
        <v>670131</v>
      </c>
      <c r="AR9" s="119">
        <v>654693</v>
      </c>
      <c r="AS9" s="119">
        <v>741778</v>
      </c>
      <c r="AT9" s="119">
        <v>814144</v>
      </c>
      <c r="AU9" s="119">
        <v>904191</v>
      </c>
      <c r="AV9" s="83">
        <f>(AT9-AS9)/AS9</f>
        <v>0.09755749024640796</v>
      </c>
    </row>
    <row r="10" spans="1:48" ht="12.75">
      <c r="A10" s="219" t="s">
        <v>26</v>
      </c>
      <c r="B10" s="191">
        <v>352940</v>
      </c>
      <c r="C10" s="191">
        <v>360280</v>
      </c>
      <c r="D10" s="191">
        <v>371344</v>
      </c>
      <c r="E10" s="191">
        <v>416060</v>
      </c>
      <c r="F10" s="191">
        <v>250979</v>
      </c>
      <c r="G10" s="220">
        <v>266646</v>
      </c>
      <c r="H10" s="220">
        <v>250181</v>
      </c>
      <c r="I10" s="220">
        <v>231302</v>
      </c>
      <c r="J10" s="220">
        <v>165863</v>
      </c>
      <c r="K10" s="220">
        <v>170213</v>
      </c>
      <c r="L10" s="220">
        <v>165757</v>
      </c>
      <c r="M10" s="220">
        <v>189064</v>
      </c>
      <c r="N10" s="220">
        <v>183285</v>
      </c>
      <c r="O10" s="220">
        <v>202527</v>
      </c>
      <c r="P10" s="317">
        <f aca="true" t="shared" si="1" ref="P10:P20">(O10-N10)/N10</f>
        <v>0.10498404124723791</v>
      </c>
      <c r="Q10" s="221"/>
      <c r="R10" s="191">
        <f aca="true" t="shared" si="2" ref="R10:R22">AH10-B10</f>
        <v>470649</v>
      </c>
      <c r="S10" s="191">
        <f aca="true" t="shared" si="3" ref="S10:S20">AI10-C10</f>
        <v>534784</v>
      </c>
      <c r="T10" s="191">
        <f aca="true" t="shared" si="4" ref="T10:T20">AJ10-D10</f>
        <v>583686</v>
      </c>
      <c r="U10" s="191">
        <f aca="true" t="shared" si="5" ref="U10:U20">AK10-E10</f>
        <v>1828302</v>
      </c>
      <c r="V10" s="191">
        <v>570446</v>
      </c>
      <c r="W10" s="191">
        <v>587409</v>
      </c>
      <c r="X10" s="220">
        <f aca="true" t="shared" si="6" ref="X10:X20">AN10-H10</f>
        <v>637782</v>
      </c>
      <c r="Y10" s="220">
        <f aca="true" t="shared" si="7" ref="Y10:Y20">AO10-I10</f>
        <v>552281</v>
      </c>
      <c r="Z10" s="220">
        <f aca="true" t="shared" si="8" ref="Z10:Z20">AP10-J10</f>
        <v>523428</v>
      </c>
      <c r="AA10" s="220">
        <f aca="true" t="shared" si="9" ref="AA10:AA20">AQ10-K10</f>
        <v>515342</v>
      </c>
      <c r="AB10" s="220">
        <f aca="true" t="shared" si="10" ref="AB10:AB20">AR10-L10</f>
        <v>518720</v>
      </c>
      <c r="AC10" s="220">
        <f aca="true" t="shared" si="11" ref="AC10:AC20">AS10-M10</f>
        <v>611609</v>
      </c>
      <c r="AD10" s="220">
        <f aca="true" t="shared" si="12" ref="AD10:AD20">AT10-N10</f>
        <v>640519</v>
      </c>
      <c r="AE10" s="220">
        <f aca="true" t="shared" si="13" ref="AE10:AE20">AU10-O10</f>
        <v>702181</v>
      </c>
      <c r="AF10" s="317">
        <f aca="true" t="shared" si="14" ref="AF10:AF20">(AE10-AD10)/AD10</f>
        <v>0.09626880701431183</v>
      </c>
      <c r="AG10" s="221"/>
      <c r="AH10" s="222">
        <v>823589</v>
      </c>
      <c r="AI10" s="222">
        <v>895064</v>
      </c>
      <c r="AJ10" s="222">
        <v>955030</v>
      </c>
      <c r="AK10" s="222">
        <v>2244362</v>
      </c>
      <c r="AL10" s="222">
        <f aca="true" t="shared" si="15" ref="AL10:AL20">F10+V10</f>
        <v>821425</v>
      </c>
      <c r="AM10" s="222">
        <v>854055</v>
      </c>
      <c r="AN10" s="220">
        <v>887963</v>
      </c>
      <c r="AO10" s="220">
        <v>783583</v>
      </c>
      <c r="AP10" s="220">
        <v>689291</v>
      </c>
      <c r="AQ10" s="220">
        <v>685555</v>
      </c>
      <c r="AR10" s="220">
        <v>684477</v>
      </c>
      <c r="AS10" s="220">
        <v>800673</v>
      </c>
      <c r="AT10" s="220">
        <v>823804</v>
      </c>
      <c r="AU10" s="220">
        <v>904708</v>
      </c>
      <c r="AV10" s="317">
        <f aca="true" t="shared" si="16" ref="AV10:AV20">(AT10-AS10)/AS10</f>
        <v>0.028889446752919108</v>
      </c>
    </row>
    <row r="11" spans="1:48" ht="12.75">
      <c r="A11" s="17" t="s">
        <v>27</v>
      </c>
      <c r="B11" s="42">
        <v>366276</v>
      </c>
      <c r="C11" s="42">
        <v>395562</v>
      </c>
      <c r="D11" s="42">
        <v>377624</v>
      </c>
      <c r="E11" s="42">
        <v>348482</v>
      </c>
      <c r="F11" s="42">
        <v>278617</v>
      </c>
      <c r="G11" s="119">
        <v>295417</v>
      </c>
      <c r="H11" s="119">
        <v>281975</v>
      </c>
      <c r="I11" s="119">
        <v>242971</v>
      </c>
      <c r="J11" s="119">
        <v>162461</v>
      </c>
      <c r="K11" s="119">
        <v>196857</v>
      </c>
      <c r="L11" s="119">
        <v>194816</v>
      </c>
      <c r="M11" s="119">
        <v>199931</v>
      </c>
      <c r="N11" s="119">
        <v>219878</v>
      </c>
      <c r="O11" s="119">
        <v>222658</v>
      </c>
      <c r="P11" s="83">
        <f t="shared" si="1"/>
        <v>0.012643374962479192</v>
      </c>
      <c r="Q11" s="74"/>
      <c r="R11" s="42">
        <f t="shared" si="2"/>
        <v>516060</v>
      </c>
      <c r="S11" s="42">
        <f t="shared" si="3"/>
        <v>604831</v>
      </c>
      <c r="T11" s="42">
        <f t="shared" si="4"/>
        <v>708976</v>
      </c>
      <c r="U11" s="42">
        <f t="shared" si="5"/>
        <v>2270803</v>
      </c>
      <c r="V11" s="42">
        <v>664412</v>
      </c>
      <c r="W11" s="42">
        <v>712256</v>
      </c>
      <c r="X11" s="119">
        <f t="shared" si="6"/>
        <v>807101</v>
      </c>
      <c r="Y11" s="119">
        <f t="shared" si="7"/>
        <v>701894</v>
      </c>
      <c r="Z11" s="119">
        <f t="shared" si="8"/>
        <v>634260</v>
      </c>
      <c r="AA11" s="119">
        <f t="shared" si="9"/>
        <v>637432</v>
      </c>
      <c r="AB11" s="119">
        <f t="shared" si="10"/>
        <v>647210</v>
      </c>
      <c r="AC11" s="119">
        <f t="shared" si="11"/>
        <v>772823</v>
      </c>
      <c r="AD11" s="119">
        <f t="shared" si="12"/>
        <v>798497</v>
      </c>
      <c r="AE11" s="119">
        <f t="shared" si="13"/>
        <v>873409</v>
      </c>
      <c r="AF11" s="83">
        <f t="shared" si="14"/>
        <v>0.09381625729338995</v>
      </c>
      <c r="AG11" s="74"/>
      <c r="AH11" s="85">
        <v>882336</v>
      </c>
      <c r="AI11" s="85">
        <v>1000393</v>
      </c>
      <c r="AJ11" s="85">
        <v>1086600</v>
      </c>
      <c r="AK11" s="85">
        <v>2619285</v>
      </c>
      <c r="AL11" s="85">
        <f t="shared" si="15"/>
        <v>943029</v>
      </c>
      <c r="AM11" s="85">
        <v>1007673</v>
      </c>
      <c r="AN11" s="119">
        <v>1089076</v>
      </c>
      <c r="AO11" s="119">
        <v>944865</v>
      </c>
      <c r="AP11" s="119">
        <v>796721</v>
      </c>
      <c r="AQ11" s="119">
        <v>834289</v>
      </c>
      <c r="AR11" s="119">
        <v>842026</v>
      </c>
      <c r="AS11" s="119">
        <v>972754</v>
      </c>
      <c r="AT11" s="119">
        <v>1018375</v>
      </c>
      <c r="AU11" s="119">
        <v>1096067</v>
      </c>
      <c r="AV11" s="83">
        <f t="shared" si="16"/>
        <v>0.046898804836577386</v>
      </c>
    </row>
    <row r="12" spans="1:48" ht="12.75">
      <c r="A12" s="219" t="s">
        <v>28</v>
      </c>
      <c r="B12" s="191">
        <v>347579</v>
      </c>
      <c r="C12" s="191">
        <v>330867</v>
      </c>
      <c r="D12" s="191">
        <v>416376</v>
      </c>
      <c r="E12" s="191">
        <v>356847</v>
      </c>
      <c r="F12" s="191">
        <v>259467</v>
      </c>
      <c r="G12" s="220">
        <v>265907</v>
      </c>
      <c r="H12" s="220">
        <v>254776</v>
      </c>
      <c r="I12" s="220">
        <v>212149</v>
      </c>
      <c r="J12" s="220">
        <v>197646</v>
      </c>
      <c r="K12" s="220">
        <v>190763</v>
      </c>
      <c r="L12" s="220">
        <v>183130</v>
      </c>
      <c r="M12" s="220">
        <v>207952</v>
      </c>
      <c r="N12" s="220">
        <v>201593</v>
      </c>
      <c r="O12" s="220">
        <v>226110</v>
      </c>
      <c r="P12" s="317">
        <f t="shared" si="1"/>
        <v>0.12161632596369913</v>
      </c>
      <c r="Q12" s="221"/>
      <c r="R12" s="191">
        <f t="shared" si="2"/>
        <v>572105</v>
      </c>
      <c r="S12" s="191">
        <f t="shared" si="3"/>
        <v>628978</v>
      </c>
      <c r="T12" s="191">
        <f t="shared" si="4"/>
        <v>727461</v>
      </c>
      <c r="U12" s="191">
        <f t="shared" si="5"/>
        <v>2229286</v>
      </c>
      <c r="V12" s="191">
        <v>692953</v>
      </c>
      <c r="W12" s="191">
        <v>687815</v>
      </c>
      <c r="X12" s="220">
        <f t="shared" si="6"/>
        <v>816615</v>
      </c>
      <c r="Y12" s="220">
        <f t="shared" si="7"/>
        <v>743420</v>
      </c>
      <c r="Z12" s="220">
        <f t="shared" si="8"/>
        <v>665945</v>
      </c>
      <c r="AA12" s="220">
        <f t="shared" si="9"/>
        <v>687354</v>
      </c>
      <c r="AB12" s="220">
        <f t="shared" si="10"/>
        <v>708939</v>
      </c>
      <c r="AC12" s="220">
        <f t="shared" si="11"/>
        <v>790052</v>
      </c>
      <c r="AD12" s="220">
        <f t="shared" si="12"/>
        <v>893396</v>
      </c>
      <c r="AE12" s="220">
        <f t="shared" si="13"/>
        <v>921151</v>
      </c>
      <c r="AF12" s="317">
        <f t="shared" si="14"/>
        <v>0.0310668505343655</v>
      </c>
      <c r="AG12" s="221"/>
      <c r="AH12" s="222">
        <v>919684</v>
      </c>
      <c r="AI12" s="222">
        <v>959845</v>
      </c>
      <c r="AJ12" s="222">
        <v>1143837</v>
      </c>
      <c r="AK12" s="222">
        <v>2586133</v>
      </c>
      <c r="AL12" s="222">
        <f t="shared" si="15"/>
        <v>952420</v>
      </c>
      <c r="AM12" s="222">
        <v>953722</v>
      </c>
      <c r="AN12" s="220">
        <v>1071391</v>
      </c>
      <c r="AO12" s="220">
        <v>955569</v>
      </c>
      <c r="AP12" s="220">
        <v>863591</v>
      </c>
      <c r="AQ12" s="220">
        <v>878117</v>
      </c>
      <c r="AR12" s="220">
        <v>892069</v>
      </c>
      <c r="AS12" s="220">
        <v>998004</v>
      </c>
      <c r="AT12" s="220">
        <v>1094989</v>
      </c>
      <c r="AU12" s="220">
        <v>1147261</v>
      </c>
      <c r="AV12" s="317">
        <f t="shared" si="16"/>
        <v>0.09717896922256825</v>
      </c>
    </row>
    <row r="13" spans="1:48" ht="12.75">
      <c r="A13" s="17" t="s">
        <v>29</v>
      </c>
      <c r="B13" s="42">
        <v>379521</v>
      </c>
      <c r="C13" s="42">
        <v>396986</v>
      </c>
      <c r="D13" s="42">
        <v>426132</v>
      </c>
      <c r="E13" s="42">
        <v>327914</v>
      </c>
      <c r="F13" s="42">
        <v>258590</v>
      </c>
      <c r="G13" s="119">
        <v>290589</v>
      </c>
      <c r="H13" s="119">
        <v>294444</v>
      </c>
      <c r="I13" s="119">
        <v>246791</v>
      </c>
      <c r="J13" s="119">
        <v>211624</v>
      </c>
      <c r="K13" s="119">
        <v>201690</v>
      </c>
      <c r="L13" s="119">
        <v>202165</v>
      </c>
      <c r="M13" s="119">
        <v>221104</v>
      </c>
      <c r="N13" s="119">
        <v>221597</v>
      </c>
      <c r="O13" s="119">
        <v>228431</v>
      </c>
      <c r="P13" s="83">
        <f t="shared" si="1"/>
        <v>0.030839767686385647</v>
      </c>
      <c r="Q13" s="74"/>
      <c r="R13" s="42">
        <f t="shared" si="2"/>
        <v>563590</v>
      </c>
      <c r="S13" s="42">
        <f t="shared" si="3"/>
        <v>654594</v>
      </c>
      <c r="T13" s="42">
        <f t="shared" si="4"/>
        <v>795988</v>
      </c>
      <c r="U13" s="42">
        <f t="shared" si="5"/>
        <v>2430470</v>
      </c>
      <c r="V13" s="42">
        <v>662016</v>
      </c>
      <c r="W13" s="42">
        <v>697564</v>
      </c>
      <c r="X13" s="119">
        <f t="shared" si="6"/>
        <v>813477</v>
      </c>
      <c r="Y13" s="119">
        <f t="shared" si="7"/>
        <v>793329</v>
      </c>
      <c r="Z13" s="119">
        <f t="shared" si="8"/>
        <v>697729</v>
      </c>
      <c r="AA13" s="119">
        <f t="shared" si="9"/>
        <v>688593</v>
      </c>
      <c r="AB13" s="119">
        <f t="shared" si="10"/>
        <v>731331</v>
      </c>
      <c r="AC13" s="119">
        <f t="shared" si="11"/>
        <v>845718</v>
      </c>
      <c r="AD13" s="119">
        <f t="shared" si="12"/>
        <v>927134</v>
      </c>
      <c r="AE13" s="119">
        <f t="shared" si="13"/>
        <v>994736</v>
      </c>
      <c r="AF13" s="83">
        <f t="shared" si="14"/>
        <v>0.07291502630687689</v>
      </c>
      <c r="AG13" s="74"/>
      <c r="AH13" s="85">
        <v>943111</v>
      </c>
      <c r="AI13" s="85">
        <v>1051580</v>
      </c>
      <c r="AJ13" s="85">
        <v>1222120</v>
      </c>
      <c r="AK13" s="85">
        <v>2758384</v>
      </c>
      <c r="AL13" s="85">
        <f t="shared" si="15"/>
        <v>920606</v>
      </c>
      <c r="AM13" s="85">
        <v>988153</v>
      </c>
      <c r="AN13" s="119">
        <v>1107921</v>
      </c>
      <c r="AO13" s="119">
        <v>1040120</v>
      </c>
      <c r="AP13" s="119">
        <v>909353</v>
      </c>
      <c r="AQ13" s="119">
        <v>890283</v>
      </c>
      <c r="AR13" s="119">
        <v>933496</v>
      </c>
      <c r="AS13" s="119">
        <v>1066822</v>
      </c>
      <c r="AT13" s="119">
        <v>1148731</v>
      </c>
      <c r="AU13" s="119">
        <v>1223167</v>
      </c>
      <c r="AV13" s="83">
        <f t="shared" si="16"/>
        <v>0.07677850662997202</v>
      </c>
    </row>
    <row r="14" spans="1:48" ht="12.75">
      <c r="A14" s="219" t="s">
        <v>30</v>
      </c>
      <c r="B14" s="191">
        <v>376071</v>
      </c>
      <c r="C14" s="191">
        <v>390667</v>
      </c>
      <c r="D14" s="191">
        <v>410894</v>
      </c>
      <c r="E14" s="191">
        <v>313199</v>
      </c>
      <c r="F14" s="191">
        <v>277393</v>
      </c>
      <c r="G14" s="220">
        <v>281086</v>
      </c>
      <c r="H14" s="220">
        <v>285549</v>
      </c>
      <c r="I14" s="220">
        <v>238367</v>
      </c>
      <c r="J14" s="220">
        <v>200188</v>
      </c>
      <c r="K14" s="220">
        <v>192927</v>
      </c>
      <c r="L14" s="220">
        <v>190108</v>
      </c>
      <c r="M14" s="220">
        <v>219843</v>
      </c>
      <c r="N14" s="220">
        <v>214310</v>
      </c>
      <c r="O14" s="220">
        <v>212429</v>
      </c>
      <c r="P14" s="317">
        <f t="shared" si="1"/>
        <v>-0.008777005272735757</v>
      </c>
      <c r="Q14" s="221"/>
      <c r="R14" s="191">
        <f t="shared" si="2"/>
        <v>605869</v>
      </c>
      <c r="S14" s="191">
        <f t="shared" si="3"/>
        <v>678396</v>
      </c>
      <c r="T14" s="191">
        <f t="shared" si="4"/>
        <v>791529</v>
      </c>
      <c r="U14" s="191">
        <f t="shared" si="5"/>
        <v>2492342</v>
      </c>
      <c r="V14" s="191">
        <v>724416</v>
      </c>
      <c r="W14" s="191">
        <v>713130</v>
      </c>
      <c r="X14" s="220">
        <f t="shared" si="6"/>
        <v>851082</v>
      </c>
      <c r="Y14" s="220">
        <f t="shared" si="7"/>
        <v>831555</v>
      </c>
      <c r="Z14" s="220">
        <f t="shared" si="8"/>
        <v>740516</v>
      </c>
      <c r="AA14" s="220">
        <f t="shared" si="9"/>
        <v>755511</v>
      </c>
      <c r="AB14" s="220">
        <f t="shared" si="10"/>
        <v>769096</v>
      </c>
      <c r="AC14" s="220">
        <f t="shared" si="11"/>
        <v>878693</v>
      </c>
      <c r="AD14" s="220">
        <f t="shared" si="12"/>
        <v>989026</v>
      </c>
      <c r="AE14" s="220">
        <f t="shared" si="13"/>
        <v>1027880</v>
      </c>
      <c r="AF14" s="317">
        <f t="shared" si="14"/>
        <v>0.03928511485036794</v>
      </c>
      <c r="AG14" s="221"/>
      <c r="AH14" s="222">
        <v>981940</v>
      </c>
      <c r="AI14" s="222">
        <v>1069063</v>
      </c>
      <c r="AJ14" s="222">
        <v>1202423</v>
      </c>
      <c r="AK14" s="222">
        <v>2805541</v>
      </c>
      <c r="AL14" s="222">
        <f t="shared" si="15"/>
        <v>1001809</v>
      </c>
      <c r="AM14" s="222">
        <v>994216</v>
      </c>
      <c r="AN14" s="220">
        <v>1136631</v>
      </c>
      <c r="AO14" s="220">
        <v>1069922</v>
      </c>
      <c r="AP14" s="220">
        <v>940704</v>
      </c>
      <c r="AQ14" s="220">
        <v>948438</v>
      </c>
      <c r="AR14" s="220">
        <v>959204</v>
      </c>
      <c r="AS14" s="220">
        <v>1098536</v>
      </c>
      <c r="AT14" s="220">
        <v>1203336</v>
      </c>
      <c r="AU14" s="220">
        <v>1240309</v>
      </c>
      <c r="AV14" s="317">
        <f t="shared" si="16"/>
        <v>0.09539969559486444</v>
      </c>
    </row>
    <row r="15" spans="1:48" ht="12.75">
      <c r="A15" s="17" t="s">
        <v>31</v>
      </c>
      <c r="B15" s="42">
        <v>343421</v>
      </c>
      <c r="C15" s="42">
        <v>341414</v>
      </c>
      <c r="D15" s="42">
        <v>367071</v>
      </c>
      <c r="E15" s="42">
        <v>284173</v>
      </c>
      <c r="F15" s="42">
        <v>264755</v>
      </c>
      <c r="G15" s="119">
        <v>252748</v>
      </c>
      <c r="H15" s="119">
        <v>263411</v>
      </c>
      <c r="I15" s="119">
        <v>206816</v>
      </c>
      <c r="J15" s="119">
        <v>192426</v>
      </c>
      <c r="K15" s="119">
        <v>186751</v>
      </c>
      <c r="L15" s="119">
        <v>196162</v>
      </c>
      <c r="M15" s="119">
        <v>194771</v>
      </c>
      <c r="N15" s="119">
        <v>196597</v>
      </c>
      <c r="O15" s="119">
        <v>195186</v>
      </c>
      <c r="P15" s="83">
        <f t="shared" si="1"/>
        <v>-0.007177118674242231</v>
      </c>
      <c r="Q15" s="74"/>
      <c r="R15" s="42">
        <f t="shared" si="2"/>
        <v>674832</v>
      </c>
      <c r="S15" s="42">
        <f t="shared" si="3"/>
        <v>735319</v>
      </c>
      <c r="T15" s="42">
        <f t="shared" si="4"/>
        <v>877056</v>
      </c>
      <c r="U15" s="42">
        <f t="shared" si="5"/>
        <v>2767813</v>
      </c>
      <c r="V15" s="42">
        <v>833832</v>
      </c>
      <c r="W15" s="42">
        <v>824439</v>
      </c>
      <c r="X15" s="119">
        <f t="shared" si="6"/>
        <v>949949</v>
      </c>
      <c r="Y15" s="119">
        <f t="shared" si="7"/>
        <v>942897</v>
      </c>
      <c r="Z15" s="119">
        <f t="shared" si="8"/>
        <v>829213</v>
      </c>
      <c r="AA15" s="119">
        <f t="shared" si="9"/>
        <v>828566</v>
      </c>
      <c r="AB15" s="119">
        <f t="shared" si="10"/>
        <v>870134</v>
      </c>
      <c r="AC15" s="119">
        <f t="shared" si="11"/>
        <v>949073</v>
      </c>
      <c r="AD15" s="119">
        <f t="shared" si="12"/>
        <v>1068843</v>
      </c>
      <c r="AE15" s="119">
        <f t="shared" si="13"/>
        <v>1086101</v>
      </c>
      <c r="AF15" s="83">
        <f t="shared" si="14"/>
        <v>0.016146431234521814</v>
      </c>
      <c r="AG15" s="74"/>
      <c r="AH15" s="85">
        <v>1018253</v>
      </c>
      <c r="AI15" s="85">
        <v>1076733</v>
      </c>
      <c r="AJ15" s="85">
        <v>1244127</v>
      </c>
      <c r="AK15" s="85">
        <v>3051986</v>
      </c>
      <c r="AL15" s="85">
        <f t="shared" si="15"/>
        <v>1098587</v>
      </c>
      <c r="AM15" s="85">
        <v>1077187</v>
      </c>
      <c r="AN15" s="119">
        <v>1213360</v>
      </c>
      <c r="AO15" s="119">
        <v>1149713</v>
      </c>
      <c r="AP15" s="119">
        <v>1021639</v>
      </c>
      <c r="AQ15" s="119">
        <v>1015317</v>
      </c>
      <c r="AR15" s="119">
        <v>1066296</v>
      </c>
      <c r="AS15" s="119">
        <v>1143844</v>
      </c>
      <c r="AT15" s="119">
        <v>1265440</v>
      </c>
      <c r="AU15" s="119">
        <v>1281287</v>
      </c>
      <c r="AV15" s="83">
        <f t="shared" si="16"/>
        <v>0.10630470588646704</v>
      </c>
    </row>
    <row r="16" spans="1:48" ht="12.75">
      <c r="A16" s="219" t="s">
        <v>32</v>
      </c>
      <c r="B16" s="191">
        <v>209907</v>
      </c>
      <c r="C16" s="191">
        <v>221894</v>
      </c>
      <c r="D16" s="191">
        <v>247261</v>
      </c>
      <c r="E16" s="191">
        <v>168491</v>
      </c>
      <c r="F16" s="191">
        <v>181607</v>
      </c>
      <c r="G16" s="220">
        <v>175226</v>
      </c>
      <c r="H16" s="220">
        <v>192784</v>
      </c>
      <c r="I16" s="220">
        <v>143454</v>
      </c>
      <c r="J16" s="220">
        <v>134040</v>
      </c>
      <c r="K16" s="220">
        <v>120227</v>
      </c>
      <c r="L16" s="220">
        <v>128801</v>
      </c>
      <c r="M16" s="220">
        <v>125699</v>
      </c>
      <c r="N16" s="220">
        <v>128801</v>
      </c>
      <c r="O16" s="220">
        <v>134642</v>
      </c>
      <c r="P16" s="317">
        <f t="shared" si="1"/>
        <v>0.04534902679327024</v>
      </c>
      <c r="Q16" s="221"/>
      <c r="R16" s="191">
        <f t="shared" si="2"/>
        <v>815510</v>
      </c>
      <c r="S16" s="191">
        <f t="shared" si="3"/>
        <v>862753</v>
      </c>
      <c r="T16" s="191">
        <f t="shared" si="4"/>
        <v>994417</v>
      </c>
      <c r="U16" s="191">
        <f t="shared" si="5"/>
        <v>2954135</v>
      </c>
      <c r="V16" s="191">
        <v>872356</v>
      </c>
      <c r="W16" s="191">
        <v>871601</v>
      </c>
      <c r="X16" s="220">
        <f t="shared" si="6"/>
        <v>990260</v>
      </c>
      <c r="Y16" s="220">
        <f t="shared" si="7"/>
        <v>970480</v>
      </c>
      <c r="Z16" s="220">
        <f t="shared" si="8"/>
        <v>837269</v>
      </c>
      <c r="AA16" s="220">
        <f t="shared" si="9"/>
        <v>878055</v>
      </c>
      <c r="AB16" s="220">
        <f t="shared" si="10"/>
        <v>917486</v>
      </c>
      <c r="AC16" s="220">
        <f t="shared" si="11"/>
        <v>988947</v>
      </c>
      <c r="AD16" s="220">
        <f t="shared" si="12"/>
        <v>1031488</v>
      </c>
      <c r="AE16" s="220">
        <f t="shared" si="13"/>
        <v>1081539</v>
      </c>
      <c r="AF16" s="317">
        <f t="shared" si="14"/>
        <v>0.04852310448594652</v>
      </c>
      <c r="AG16" s="221"/>
      <c r="AH16" s="222">
        <v>1025417</v>
      </c>
      <c r="AI16" s="222">
        <v>1084647</v>
      </c>
      <c r="AJ16" s="222">
        <v>1241678</v>
      </c>
      <c r="AK16" s="222">
        <v>3122626</v>
      </c>
      <c r="AL16" s="222">
        <f t="shared" si="15"/>
        <v>1053963</v>
      </c>
      <c r="AM16" s="222">
        <v>1046827</v>
      </c>
      <c r="AN16" s="220">
        <v>1183044</v>
      </c>
      <c r="AO16" s="220">
        <v>1113934</v>
      </c>
      <c r="AP16" s="220">
        <v>971309</v>
      </c>
      <c r="AQ16" s="220">
        <v>998282</v>
      </c>
      <c r="AR16" s="220">
        <v>1046287</v>
      </c>
      <c r="AS16" s="220">
        <v>1114646</v>
      </c>
      <c r="AT16" s="220">
        <v>1160289</v>
      </c>
      <c r="AU16" s="220">
        <v>1216181</v>
      </c>
      <c r="AV16" s="317">
        <f t="shared" si="16"/>
        <v>0.04094842667537496</v>
      </c>
    </row>
    <row r="17" spans="1:48" ht="12.75">
      <c r="A17" s="17" t="s">
        <v>33</v>
      </c>
      <c r="B17" s="42">
        <v>343879</v>
      </c>
      <c r="C17" s="42">
        <v>366727</v>
      </c>
      <c r="D17" s="42">
        <v>386132</v>
      </c>
      <c r="E17" s="42">
        <v>240542</v>
      </c>
      <c r="F17" s="42">
        <v>255484</v>
      </c>
      <c r="G17" s="119">
        <v>252878</v>
      </c>
      <c r="H17" s="119">
        <v>279583</v>
      </c>
      <c r="I17" s="119">
        <v>199417</v>
      </c>
      <c r="J17" s="119">
        <v>182030</v>
      </c>
      <c r="K17" s="119">
        <v>186117</v>
      </c>
      <c r="L17" s="119">
        <v>193153</v>
      </c>
      <c r="M17" s="119">
        <v>201799</v>
      </c>
      <c r="N17" s="119">
        <v>196399</v>
      </c>
      <c r="O17" s="119">
        <v>198089</v>
      </c>
      <c r="P17" s="83">
        <f t="shared" si="1"/>
        <v>0.008604931797005076</v>
      </c>
      <c r="Q17" s="74"/>
      <c r="R17" s="42">
        <f t="shared" si="2"/>
        <v>648225</v>
      </c>
      <c r="S17" s="42">
        <f t="shared" si="3"/>
        <v>685223</v>
      </c>
      <c r="T17" s="42">
        <f t="shared" si="4"/>
        <v>804015</v>
      </c>
      <c r="U17" s="42">
        <f t="shared" si="5"/>
        <v>2436560</v>
      </c>
      <c r="V17" s="42">
        <v>715838</v>
      </c>
      <c r="W17" s="42">
        <v>797155</v>
      </c>
      <c r="X17" s="119">
        <f t="shared" si="6"/>
        <v>868286</v>
      </c>
      <c r="Y17" s="119">
        <f t="shared" si="7"/>
        <v>839527</v>
      </c>
      <c r="Z17" s="119">
        <f t="shared" si="8"/>
        <v>719046</v>
      </c>
      <c r="AA17" s="119">
        <f t="shared" si="9"/>
        <v>775632</v>
      </c>
      <c r="AB17" s="119">
        <f t="shared" si="10"/>
        <v>803122</v>
      </c>
      <c r="AC17" s="119">
        <f t="shared" si="11"/>
        <v>894186</v>
      </c>
      <c r="AD17" s="119">
        <f t="shared" si="12"/>
        <v>979337</v>
      </c>
      <c r="AE17" s="119">
        <f t="shared" si="13"/>
        <v>1022262</v>
      </c>
      <c r="AF17" s="83">
        <f t="shared" si="14"/>
        <v>0.043830673200338593</v>
      </c>
      <c r="AG17" s="74"/>
      <c r="AH17" s="85">
        <v>992104</v>
      </c>
      <c r="AI17" s="85">
        <v>1051950</v>
      </c>
      <c r="AJ17" s="85">
        <v>1190147</v>
      </c>
      <c r="AK17" s="85">
        <v>2677102</v>
      </c>
      <c r="AL17" s="85">
        <f t="shared" si="15"/>
        <v>971322</v>
      </c>
      <c r="AM17" s="85">
        <v>1050033</v>
      </c>
      <c r="AN17" s="119">
        <v>1147869</v>
      </c>
      <c r="AO17" s="119">
        <v>1038944</v>
      </c>
      <c r="AP17" s="119">
        <v>901076</v>
      </c>
      <c r="AQ17" s="119">
        <v>961749</v>
      </c>
      <c r="AR17" s="119">
        <v>996275</v>
      </c>
      <c r="AS17" s="119">
        <v>1095985</v>
      </c>
      <c r="AT17" s="119">
        <v>1175736</v>
      </c>
      <c r="AU17" s="119">
        <v>1220351</v>
      </c>
      <c r="AV17" s="83">
        <f t="shared" si="16"/>
        <v>0.07276650684087829</v>
      </c>
    </row>
    <row r="18" spans="1:48" ht="12.75">
      <c r="A18" s="219" t="s">
        <v>34</v>
      </c>
      <c r="B18" s="191">
        <v>399823</v>
      </c>
      <c r="C18" s="191">
        <v>384230</v>
      </c>
      <c r="D18" s="191">
        <v>421584</v>
      </c>
      <c r="E18" s="191">
        <v>290657</v>
      </c>
      <c r="F18" s="191">
        <v>291774</v>
      </c>
      <c r="G18" s="220">
        <v>282195</v>
      </c>
      <c r="H18" s="220">
        <v>284354</v>
      </c>
      <c r="I18" s="220">
        <v>239637</v>
      </c>
      <c r="J18" s="220">
        <v>220311</v>
      </c>
      <c r="K18" s="220">
        <v>208060</v>
      </c>
      <c r="L18" s="220">
        <v>222377</v>
      </c>
      <c r="M18" s="220">
        <v>218397</v>
      </c>
      <c r="N18" s="220">
        <v>217505</v>
      </c>
      <c r="O18" s="220">
        <v>232329</v>
      </c>
      <c r="P18" s="317">
        <f t="shared" si="1"/>
        <v>0.068154755063102</v>
      </c>
      <c r="Q18" s="221"/>
      <c r="R18" s="191">
        <f t="shared" si="2"/>
        <v>584462</v>
      </c>
      <c r="S18" s="191">
        <f t="shared" si="3"/>
        <v>647499</v>
      </c>
      <c r="T18" s="191">
        <f t="shared" si="4"/>
        <v>755754</v>
      </c>
      <c r="U18" s="191">
        <f t="shared" si="5"/>
        <v>2181478</v>
      </c>
      <c r="V18" s="191">
        <v>664422</v>
      </c>
      <c r="W18" s="191">
        <v>780477</v>
      </c>
      <c r="X18" s="220">
        <f t="shared" si="6"/>
        <v>774219</v>
      </c>
      <c r="Y18" s="220">
        <f t="shared" si="7"/>
        <v>702047</v>
      </c>
      <c r="Z18" s="220">
        <f t="shared" si="8"/>
        <v>643608</v>
      </c>
      <c r="AA18" s="220">
        <f t="shared" si="9"/>
        <v>698459</v>
      </c>
      <c r="AB18" s="220">
        <f t="shared" si="10"/>
        <v>713026</v>
      </c>
      <c r="AC18" s="220">
        <f t="shared" si="11"/>
        <v>794147</v>
      </c>
      <c r="AD18" s="220">
        <f t="shared" si="12"/>
        <v>888805</v>
      </c>
      <c r="AE18" s="220">
        <f t="shared" si="13"/>
        <v>956455</v>
      </c>
      <c r="AF18" s="317">
        <f t="shared" si="14"/>
        <v>0.07611343320525875</v>
      </c>
      <c r="AG18" s="221"/>
      <c r="AH18" s="222">
        <v>984285</v>
      </c>
      <c r="AI18" s="222">
        <v>1031729</v>
      </c>
      <c r="AJ18" s="222">
        <v>1177338</v>
      </c>
      <c r="AK18" s="222">
        <v>2472135</v>
      </c>
      <c r="AL18" s="222">
        <f t="shared" si="15"/>
        <v>956196</v>
      </c>
      <c r="AM18" s="222">
        <v>1062672</v>
      </c>
      <c r="AN18" s="220">
        <v>1058573</v>
      </c>
      <c r="AO18" s="220">
        <v>941684</v>
      </c>
      <c r="AP18" s="220">
        <v>863919</v>
      </c>
      <c r="AQ18" s="220">
        <v>906519</v>
      </c>
      <c r="AR18" s="220">
        <v>935403</v>
      </c>
      <c r="AS18" s="220">
        <v>1012544</v>
      </c>
      <c r="AT18" s="220">
        <v>1106310</v>
      </c>
      <c r="AU18" s="220">
        <v>1188784</v>
      </c>
      <c r="AV18" s="317">
        <f t="shared" si="16"/>
        <v>0.09260437077302319</v>
      </c>
    </row>
    <row r="19" spans="1:48" ht="12.75">
      <c r="A19" s="17" t="s">
        <v>35</v>
      </c>
      <c r="B19" s="42">
        <v>372555</v>
      </c>
      <c r="C19" s="42">
        <v>395719</v>
      </c>
      <c r="D19" s="42">
        <v>423074</v>
      </c>
      <c r="E19" s="42">
        <v>261798</v>
      </c>
      <c r="F19" s="42">
        <v>285435</v>
      </c>
      <c r="G19" s="119">
        <v>263420</v>
      </c>
      <c r="H19" s="119">
        <v>277401</v>
      </c>
      <c r="I19" s="119">
        <v>202414</v>
      </c>
      <c r="J19" s="119">
        <v>187807</v>
      </c>
      <c r="K19" s="119">
        <v>178021</v>
      </c>
      <c r="L19" s="119">
        <v>195792</v>
      </c>
      <c r="M19" s="119">
        <v>202520</v>
      </c>
      <c r="N19" s="119">
        <v>198727</v>
      </c>
      <c r="O19" s="119">
        <v>213033</v>
      </c>
      <c r="P19" s="83">
        <f t="shared" si="1"/>
        <v>0.07198820492434345</v>
      </c>
      <c r="Q19" s="74"/>
      <c r="R19" s="42">
        <f t="shared" si="2"/>
        <v>518193</v>
      </c>
      <c r="S19" s="42">
        <f t="shared" si="3"/>
        <v>587760</v>
      </c>
      <c r="T19" s="42">
        <f t="shared" si="4"/>
        <v>669584</v>
      </c>
      <c r="U19" s="42">
        <f t="shared" si="5"/>
        <v>1673485</v>
      </c>
      <c r="V19" s="42">
        <v>618792</v>
      </c>
      <c r="W19" s="42">
        <v>720784</v>
      </c>
      <c r="X19" s="119">
        <f t="shared" si="6"/>
        <v>717139</v>
      </c>
      <c r="Y19" s="119">
        <f t="shared" si="7"/>
        <v>591514</v>
      </c>
      <c r="Z19" s="119">
        <f t="shared" si="8"/>
        <v>576664</v>
      </c>
      <c r="AA19" s="119">
        <f t="shared" si="9"/>
        <v>585787</v>
      </c>
      <c r="AB19" s="119">
        <f t="shared" si="10"/>
        <v>624128</v>
      </c>
      <c r="AC19" s="119">
        <f t="shared" si="11"/>
        <v>719205</v>
      </c>
      <c r="AD19" s="119">
        <f t="shared" si="12"/>
        <v>773096</v>
      </c>
      <c r="AE19" s="119">
        <f t="shared" si="13"/>
        <v>804798</v>
      </c>
      <c r="AF19" s="83">
        <f t="shared" si="14"/>
        <v>0.041006550286122295</v>
      </c>
      <c r="AG19" s="74"/>
      <c r="AH19" s="85">
        <v>890748</v>
      </c>
      <c r="AI19" s="85">
        <v>983479</v>
      </c>
      <c r="AJ19" s="85">
        <v>1092658</v>
      </c>
      <c r="AK19" s="85">
        <v>1935283</v>
      </c>
      <c r="AL19" s="85">
        <f t="shared" si="15"/>
        <v>904227</v>
      </c>
      <c r="AM19" s="85">
        <v>984204</v>
      </c>
      <c r="AN19" s="119">
        <v>994540</v>
      </c>
      <c r="AO19" s="119">
        <v>793928</v>
      </c>
      <c r="AP19" s="119">
        <v>764471</v>
      </c>
      <c r="AQ19" s="119">
        <v>763808</v>
      </c>
      <c r="AR19" s="119">
        <v>819920</v>
      </c>
      <c r="AS19" s="119">
        <v>921725</v>
      </c>
      <c r="AT19" s="119">
        <v>971823</v>
      </c>
      <c r="AU19" s="119">
        <v>1017831</v>
      </c>
      <c r="AV19" s="83">
        <f t="shared" si="16"/>
        <v>0.054352437006699394</v>
      </c>
    </row>
    <row r="20" spans="1:48" ht="12.75">
      <c r="A20" s="219" t="s">
        <v>36</v>
      </c>
      <c r="B20" s="191">
        <v>332277</v>
      </c>
      <c r="C20" s="191">
        <v>328658</v>
      </c>
      <c r="D20" s="191">
        <v>350173</v>
      </c>
      <c r="E20" s="191">
        <v>240727</v>
      </c>
      <c r="F20" s="191">
        <v>249270</v>
      </c>
      <c r="G20" s="220">
        <v>219320</v>
      </c>
      <c r="H20" s="220">
        <v>246652</v>
      </c>
      <c r="I20" s="220">
        <v>180124</v>
      </c>
      <c r="J20" s="220">
        <v>168137</v>
      </c>
      <c r="K20" s="220">
        <v>168013</v>
      </c>
      <c r="L20" s="220">
        <v>172180</v>
      </c>
      <c r="M20" s="220">
        <v>181299</v>
      </c>
      <c r="N20" s="220">
        <v>191955</v>
      </c>
      <c r="O20" s="220">
        <v>209042</v>
      </c>
      <c r="P20" s="317">
        <f t="shared" si="1"/>
        <v>0.0890156547107395</v>
      </c>
      <c r="Q20" s="221"/>
      <c r="R20" s="191">
        <f t="shared" si="2"/>
        <v>513748</v>
      </c>
      <c r="S20" s="191">
        <f t="shared" si="3"/>
        <v>550778</v>
      </c>
      <c r="T20" s="191">
        <f t="shared" si="4"/>
        <v>631037</v>
      </c>
      <c r="U20" s="191">
        <f t="shared" si="5"/>
        <v>1601579</v>
      </c>
      <c r="V20" s="191">
        <v>610422</v>
      </c>
      <c r="W20" s="191">
        <v>656368</v>
      </c>
      <c r="X20" s="220">
        <f t="shared" si="6"/>
        <v>721088</v>
      </c>
      <c r="Y20" s="220">
        <f t="shared" si="7"/>
        <v>614553</v>
      </c>
      <c r="Z20" s="220">
        <f t="shared" si="8"/>
        <v>571826</v>
      </c>
      <c r="AA20" s="220">
        <f t="shared" si="9"/>
        <v>562097</v>
      </c>
      <c r="AB20" s="220">
        <f t="shared" si="10"/>
        <v>605765</v>
      </c>
      <c r="AC20" s="220">
        <f t="shared" si="11"/>
        <v>667713</v>
      </c>
      <c r="AD20" s="220">
        <f t="shared" si="12"/>
        <v>748605</v>
      </c>
      <c r="AE20" s="220">
        <f t="shared" si="13"/>
        <v>803702</v>
      </c>
      <c r="AF20" s="317">
        <f t="shared" si="14"/>
        <v>0.07359956185171085</v>
      </c>
      <c r="AG20" s="221"/>
      <c r="AH20" s="222">
        <v>846025</v>
      </c>
      <c r="AI20" s="222">
        <v>879436</v>
      </c>
      <c r="AJ20" s="222">
        <v>981210</v>
      </c>
      <c r="AK20" s="222">
        <v>1842306</v>
      </c>
      <c r="AL20" s="222">
        <f t="shared" si="15"/>
        <v>859692</v>
      </c>
      <c r="AM20" s="222">
        <v>875388</v>
      </c>
      <c r="AN20" s="220">
        <v>967740</v>
      </c>
      <c r="AO20" s="220">
        <v>794677</v>
      </c>
      <c r="AP20" s="220">
        <v>739963</v>
      </c>
      <c r="AQ20" s="220">
        <v>730110</v>
      </c>
      <c r="AR20" s="220">
        <v>777945</v>
      </c>
      <c r="AS20" s="220">
        <v>849012</v>
      </c>
      <c r="AT20" s="220">
        <v>940560</v>
      </c>
      <c r="AU20" s="220">
        <v>1012744</v>
      </c>
      <c r="AV20" s="317">
        <f t="shared" si="16"/>
        <v>0.10782886460968749</v>
      </c>
    </row>
    <row r="21" spans="1:48" ht="12.75">
      <c r="A21" s="21"/>
      <c r="B21" s="90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83"/>
      <c r="Q21" s="74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83"/>
      <c r="AG21" s="74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3"/>
    </row>
    <row r="22" spans="1:48" s="75" customFormat="1" ht="18" customHeight="1">
      <c r="A22" s="211" t="s">
        <v>1</v>
      </c>
      <c r="B22" s="212">
        <f aca="true" t="shared" si="17" ref="B22:G22">SUM(B9:B20)</f>
        <v>4145347</v>
      </c>
      <c r="C22" s="212">
        <f t="shared" si="17"/>
        <v>4227978</v>
      </c>
      <c r="D22" s="212">
        <f t="shared" si="17"/>
        <v>4526713</v>
      </c>
      <c r="E22" s="212">
        <f>SUM(E9:E20)</f>
        <v>3632361</v>
      </c>
      <c r="F22" s="212">
        <f>SUM(F9:F20)</f>
        <v>3056176</v>
      </c>
      <c r="G22" s="212">
        <f t="shared" si="17"/>
        <v>3071207</v>
      </c>
      <c r="H22" s="212">
        <v>3129530</v>
      </c>
      <c r="I22" s="212">
        <v>2573032</v>
      </c>
      <c r="J22" s="212">
        <v>2209896</v>
      </c>
      <c r="K22" s="212">
        <f>SUM(K9:K20)</f>
        <v>2161055</v>
      </c>
      <c r="L22" s="212">
        <f>SUM(L9:L20)</f>
        <v>2198342</v>
      </c>
      <c r="M22" s="212">
        <f>SUM(M9:M20)</f>
        <v>2330293</v>
      </c>
      <c r="N22" s="212">
        <f>SUM(N9:N20)</f>
        <v>2345168</v>
      </c>
      <c r="O22" s="212">
        <f>SUM(O9:O20)</f>
        <v>2468874</v>
      </c>
      <c r="P22" s="213">
        <f>(O22-N22)/N22</f>
        <v>0.05274931262920183</v>
      </c>
      <c r="Q22" s="214"/>
      <c r="R22" s="212">
        <f t="shared" si="2"/>
        <v>6929505</v>
      </c>
      <c r="S22" s="212">
        <f>SUM(S9:S20)</f>
        <v>7628210</v>
      </c>
      <c r="T22" s="212">
        <f>SUM(T9:T20)</f>
        <v>8850805</v>
      </c>
      <c r="U22" s="212">
        <f>SUM(U9:U20)</f>
        <v>26554065</v>
      </c>
      <c r="V22" s="212">
        <f>SUM(V9:V20)</f>
        <v>8139214</v>
      </c>
      <c r="W22" s="212">
        <f>SUM(W9:W20)</f>
        <v>8560530</v>
      </c>
      <c r="X22" s="212">
        <f>SUM(X9:X21)</f>
        <v>9553993</v>
      </c>
      <c r="Y22" s="212">
        <f>SUM(Y9:Y21)</f>
        <v>8892874</v>
      </c>
      <c r="Z22" s="212">
        <f>AP22-J22</f>
        <v>7970553</v>
      </c>
      <c r="AA22" s="212">
        <f>SUM(AA9:AA20)</f>
        <v>8121543</v>
      </c>
      <c r="AB22" s="212">
        <f>SUM(AB9:AB20)</f>
        <v>8409749</v>
      </c>
      <c r="AC22" s="212">
        <f>AS22-M22</f>
        <v>9486030</v>
      </c>
      <c r="AD22" s="212">
        <f>AT22-N22</f>
        <v>10378369</v>
      </c>
      <c r="AE22" s="212">
        <f>AU22-O22</f>
        <v>10984007</v>
      </c>
      <c r="AF22" s="213">
        <f>(AE22-AD22)/AD22</f>
        <v>0.05835579752463995</v>
      </c>
      <c r="AG22" s="214"/>
      <c r="AH22" s="215">
        <f aca="true" t="shared" si="18" ref="AH22:AM22">SUM(AH9:AH20)</f>
        <v>11074852</v>
      </c>
      <c r="AI22" s="215">
        <f t="shared" si="18"/>
        <v>11856188</v>
      </c>
      <c r="AJ22" s="215">
        <f t="shared" si="18"/>
        <v>13377518</v>
      </c>
      <c r="AK22" s="215">
        <f>SUM(AK9:AK20)</f>
        <v>30186426</v>
      </c>
      <c r="AL22" s="215">
        <f>SUM(AL9:AL20)</f>
        <v>11195390</v>
      </c>
      <c r="AM22" s="215">
        <f t="shared" si="18"/>
        <v>11631437</v>
      </c>
      <c r="AN22" s="215">
        <v>12683523</v>
      </c>
      <c r="AO22" s="215">
        <v>11465906</v>
      </c>
      <c r="AP22" s="215">
        <v>10180449</v>
      </c>
      <c r="AQ22" s="215">
        <f>SUM(AQ9:AQ20)</f>
        <v>10282598</v>
      </c>
      <c r="AR22" s="215">
        <f>SUM(AR9:AR20)</f>
        <v>10608091</v>
      </c>
      <c r="AS22" s="215">
        <f>SUM(AS9:AS20)</f>
        <v>11816323</v>
      </c>
      <c r="AT22" s="215">
        <f>SUM(AT9:AT20)</f>
        <v>12723537</v>
      </c>
      <c r="AU22" s="215">
        <f>SUM(AU9:AU20)</f>
        <v>13452881</v>
      </c>
      <c r="AV22" s="213">
        <f>(AU22-AT22)/AT22</f>
        <v>0.0573224253601809</v>
      </c>
    </row>
    <row r="23" spans="1:47" ht="15" customHeight="1">
      <c r="A23" s="160" t="s">
        <v>77</v>
      </c>
      <c r="B23" s="27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ht="15" customHeight="1">
      <c r="A24" s="25" t="s">
        <v>92</v>
      </c>
    </row>
    <row r="27" spans="4:35" ht="12.75"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</row>
    <row r="34" spans="16:18" ht="12.75">
      <c r="P34" s="78"/>
      <c r="Q34" s="78"/>
      <c r="R34" s="78"/>
    </row>
  </sheetData>
  <sheetProtection/>
  <mergeCells count="5">
    <mergeCell ref="AH5:AV5"/>
    <mergeCell ref="R4:AF4"/>
    <mergeCell ref="R5:AF5"/>
    <mergeCell ref="B4:P4"/>
    <mergeCell ref="B5:P5"/>
  </mergeCells>
  <printOptions/>
  <pageMargins left="0.1968503937007874" right="0.1968503937007874" top="0.5511811023622047" bottom="0" header="0" footer="0"/>
  <pageSetup fitToHeight="1" fitToWidth="1" horizontalDpi="600" verticalDpi="600" orientation="landscape" paperSize="9" scale="61" r:id="rId1"/>
  <ignoredErrors>
    <ignoredError sqref="E22:G22 AV22:AV24 Q9:W21 AV9:AW9 AF21:AM21 AF23:AG23 P21:P22 K22:O22 Q22:AF22 AQ22:AU22 P23 P9:P20 AW22 AV21:AW21 AW10:AW20 AV10:AV20 AG9:AM9 AG22:AM22 AG10:AM20 AF9:AF2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30.57421875" style="95" customWidth="1"/>
    <col min="2" max="2" width="10.8515625" style="95" customWidth="1"/>
    <col min="3" max="3" width="3.7109375" style="95" customWidth="1"/>
    <col min="4" max="4" width="10.8515625" style="95" customWidth="1"/>
    <col min="5" max="5" width="3.7109375" style="95" customWidth="1"/>
    <col min="6" max="6" width="12.140625" style="123" customWidth="1"/>
    <col min="7" max="7" width="13.7109375" style="123" bestFit="1" customWidth="1"/>
    <col min="8" max="8" width="9.140625" style="95" customWidth="1"/>
    <col min="9" max="9" width="19.140625" style="95" customWidth="1"/>
    <col min="10" max="10" width="26.28125" style="95" customWidth="1"/>
    <col min="11" max="11" width="11.140625" style="95" customWidth="1"/>
    <col min="12" max="16384" width="9.140625" style="95" customWidth="1"/>
  </cols>
  <sheetData>
    <row r="1" ht="15">
      <c r="A1" s="94" t="s">
        <v>401</v>
      </c>
    </row>
    <row r="3" spans="1:10" s="137" customFormat="1" ht="12.75">
      <c r="A3" s="223" t="s">
        <v>110</v>
      </c>
      <c r="B3" s="224">
        <v>2017</v>
      </c>
      <c r="C3" s="225"/>
      <c r="D3" s="224">
        <v>2018</v>
      </c>
      <c r="E3" s="225"/>
      <c r="F3" s="226" t="s">
        <v>109</v>
      </c>
      <c r="G3" s="122"/>
      <c r="J3" s="319"/>
    </row>
    <row r="4" spans="1:10" s="137" customFormat="1" ht="12">
      <c r="A4" s="116"/>
      <c r="B4" s="138"/>
      <c r="F4" s="140"/>
      <c r="G4" s="140"/>
      <c r="J4" s="319"/>
    </row>
    <row r="5" spans="1:10" s="137" customFormat="1" ht="12.75">
      <c r="A5" s="148" t="s">
        <v>169</v>
      </c>
      <c r="B5" s="139">
        <v>16279407</v>
      </c>
      <c r="C5" s="95"/>
      <c r="D5" s="139">
        <v>20365834</v>
      </c>
      <c r="E5" s="95"/>
      <c r="F5" s="142">
        <f>(D5-B5)/B5</f>
        <v>0.2510181728363939</v>
      </c>
      <c r="G5" s="140"/>
      <c r="I5" s="276"/>
      <c r="J5" s="321"/>
    </row>
    <row r="6" spans="1:10" s="137" customFormat="1" ht="12.75">
      <c r="A6" s="234" t="s">
        <v>164</v>
      </c>
      <c r="B6" s="232">
        <v>18000688</v>
      </c>
      <c r="C6" s="235"/>
      <c r="D6" s="232">
        <v>18309523</v>
      </c>
      <c r="E6" s="235"/>
      <c r="F6" s="233">
        <f aca="true" t="shared" si="0" ref="F6:F25">(D6-B6)/B6</f>
        <v>0.01715684422728731</v>
      </c>
      <c r="G6" s="141"/>
      <c r="I6" s="276"/>
      <c r="J6" s="321"/>
    </row>
    <row r="7" spans="1:10" s="137" customFormat="1" ht="12.75">
      <c r="A7" s="117" t="s">
        <v>256</v>
      </c>
      <c r="B7" s="139">
        <v>16671773</v>
      </c>
      <c r="C7" s="95"/>
      <c r="D7" s="139">
        <v>17165033</v>
      </c>
      <c r="E7" s="95"/>
      <c r="F7" s="142">
        <f t="shared" si="0"/>
        <v>0.029586535277321736</v>
      </c>
      <c r="G7" s="141"/>
      <c r="I7" s="276"/>
      <c r="J7" s="321"/>
    </row>
    <row r="8" spans="1:10" s="137" customFormat="1" ht="12.75">
      <c r="A8" s="231" t="s">
        <v>156</v>
      </c>
      <c r="B8" s="232">
        <v>10687964</v>
      </c>
      <c r="C8" s="235"/>
      <c r="D8" s="232">
        <v>13857781</v>
      </c>
      <c r="E8" s="235"/>
      <c r="F8" s="233">
        <f t="shared" si="0"/>
        <v>0.29657818832473615</v>
      </c>
      <c r="G8" s="141"/>
      <c r="I8" s="276"/>
      <c r="J8" s="321"/>
    </row>
    <row r="9" spans="1:10" s="137" customFormat="1" ht="12.75">
      <c r="A9" s="148" t="s">
        <v>151</v>
      </c>
      <c r="B9" s="139">
        <v>10590809</v>
      </c>
      <c r="C9" s="95"/>
      <c r="D9" s="139">
        <v>10615752</v>
      </c>
      <c r="E9" s="95"/>
      <c r="F9" s="142">
        <f>(D9-B9)/B9</f>
        <v>0.0023551553049441266</v>
      </c>
      <c r="G9" s="141"/>
      <c r="I9" s="276"/>
      <c r="J9" s="321"/>
    </row>
    <row r="10" spans="1:10" s="137" customFormat="1" ht="12.75">
      <c r="A10" s="231" t="s">
        <v>153</v>
      </c>
      <c r="B10" s="232">
        <v>8195088</v>
      </c>
      <c r="C10" s="235"/>
      <c r="D10" s="232">
        <v>8274968</v>
      </c>
      <c r="E10" s="235"/>
      <c r="F10" s="233">
        <f t="shared" si="0"/>
        <v>0.009747302286442806</v>
      </c>
      <c r="G10" s="141"/>
      <c r="I10" s="276"/>
      <c r="J10" s="321"/>
    </row>
    <row r="11" spans="1:10" s="137" customFormat="1" ht="12.75">
      <c r="A11" s="148" t="s">
        <v>154</v>
      </c>
      <c r="B11" s="139">
        <v>5952017</v>
      </c>
      <c r="C11" s="95"/>
      <c r="D11" s="139">
        <v>5847792</v>
      </c>
      <c r="E11" s="95"/>
      <c r="F11" s="142">
        <f t="shared" si="0"/>
        <v>-0.017510870684677143</v>
      </c>
      <c r="G11" s="141"/>
      <c r="I11" s="276"/>
      <c r="J11" s="321"/>
    </row>
    <row r="12" spans="1:10" s="137" customFormat="1" ht="12.75">
      <c r="A12" s="231" t="s">
        <v>157</v>
      </c>
      <c r="B12" s="232">
        <v>4909417</v>
      </c>
      <c r="C12" s="235"/>
      <c r="D12" s="232">
        <v>5240436</v>
      </c>
      <c r="E12" s="235"/>
      <c r="F12" s="233">
        <f t="shared" si="0"/>
        <v>0.06742531750715003</v>
      </c>
      <c r="G12" s="141"/>
      <c r="I12" s="276"/>
      <c r="J12" s="321"/>
    </row>
    <row r="13" spans="1:10" s="137" customFormat="1" ht="12.75">
      <c r="A13" s="117" t="s">
        <v>201</v>
      </c>
      <c r="B13" s="139">
        <v>2181164</v>
      </c>
      <c r="C13" s="95"/>
      <c r="D13" s="139">
        <v>4502186</v>
      </c>
      <c r="E13" s="95"/>
      <c r="F13" s="142">
        <f t="shared" si="0"/>
        <v>1.0641208088891987</v>
      </c>
      <c r="G13" s="141"/>
      <c r="I13" s="276"/>
      <c r="J13" s="321"/>
    </row>
    <row r="14" spans="1:10" s="137" customFormat="1" ht="12.75">
      <c r="A14" s="234" t="s">
        <v>155</v>
      </c>
      <c r="B14" s="232">
        <v>3658576</v>
      </c>
      <c r="C14" s="235"/>
      <c r="D14" s="232">
        <v>4445423</v>
      </c>
      <c r="E14" s="235"/>
      <c r="F14" s="233">
        <f t="shared" si="0"/>
        <v>0.21506919632119165</v>
      </c>
      <c r="G14" s="141"/>
      <c r="I14" s="276"/>
      <c r="J14" s="321"/>
    </row>
    <row r="15" spans="1:10" s="137" customFormat="1" ht="12.75">
      <c r="A15" s="117" t="s">
        <v>257</v>
      </c>
      <c r="B15" s="139">
        <v>4392047</v>
      </c>
      <c r="C15" s="95"/>
      <c r="D15" s="139">
        <v>4425982</v>
      </c>
      <c r="E15" s="95"/>
      <c r="F15" s="142">
        <f t="shared" si="0"/>
        <v>0.007726465586547685</v>
      </c>
      <c r="G15" s="141"/>
      <c r="I15" s="276"/>
      <c r="J15" s="323"/>
    </row>
    <row r="16" spans="1:10" s="137" customFormat="1" ht="12.75">
      <c r="A16" s="234" t="s">
        <v>258</v>
      </c>
      <c r="B16" s="232">
        <v>4000257</v>
      </c>
      <c r="C16" s="235"/>
      <c r="D16" s="232">
        <v>4257220</v>
      </c>
      <c r="E16" s="235"/>
      <c r="F16" s="233">
        <f>(D16-B16)/B16</f>
        <v>0.06423662279698529</v>
      </c>
      <c r="G16" s="141"/>
      <c r="I16" s="276"/>
      <c r="J16" s="321"/>
    </row>
    <row r="17" spans="1:10" s="137" customFormat="1" ht="12.75">
      <c r="A17" s="117" t="s">
        <v>187</v>
      </c>
      <c r="B17" s="139">
        <v>4481348</v>
      </c>
      <c r="C17" s="95"/>
      <c r="D17" s="139">
        <v>4139663</v>
      </c>
      <c r="E17" s="95"/>
      <c r="F17" s="142">
        <f>(D17-B17)/B17</f>
        <v>-0.0762460313280736</v>
      </c>
      <c r="G17" s="141"/>
      <c r="I17" s="276"/>
      <c r="J17" s="321"/>
    </row>
    <row r="18" spans="1:10" s="137" customFormat="1" ht="12.75">
      <c r="A18" s="234" t="s">
        <v>259</v>
      </c>
      <c r="B18" s="232">
        <v>3488158</v>
      </c>
      <c r="C18" s="235"/>
      <c r="D18" s="232">
        <v>3608075</v>
      </c>
      <c r="E18" s="235"/>
      <c r="F18" s="233">
        <f t="shared" si="0"/>
        <v>0.03437831657854948</v>
      </c>
      <c r="G18" s="141"/>
      <c r="I18" s="276"/>
      <c r="J18" s="321"/>
    </row>
    <row r="19" spans="1:10" s="137" customFormat="1" ht="12.75">
      <c r="A19" s="117" t="s">
        <v>152</v>
      </c>
      <c r="B19" s="139">
        <v>2994636</v>
      </c>
      <c r="C19" s="95"/>
      <c r="D19" s="139">
        <v>3554818</v>
      </c>
      <c r="E19" s="95"/>
      <c r="F19" s="142">
        <f t="shared" si="0"/>
        <v>0.18706179983143192</v>
      </c>
      <c r="G19" s="141"/>
      <c r="I19" s="276"/>
      <c r="J19" s="321"/>
    </row>
    <row r="20" spans="1:10" s="137" customFormat="1" ht="12.75">
      <c r="A20" s="234" t="s">
        <v>260</v>
      </c>
      <c r="B20" s="232">
        <v>3221812</v>
      </c>
      <c r="C20" s="235"/>
      <c r="D20" s="232">
        <v>3449201</v>
      </c>
      <c r="E20" s="235"/>
      <c r="F20" s="233">
        <f t="shared" si="0"/>
        <v>0.07057798530764675</v>
      </c>
      <c r="G20" s="141"/>
      <c r="I20" s="276"/>
      <c r="J20" s="323"/>
    </row>
    <row r="21" spans="1:10" s="137" customFormat="1" ht="12.75">
      <c r="A21" s="117" t="s">
        <v>261</v>
      </c>
      <c r="B21" s="139">
        <v>2042843</v>
      </c>
      <c r="C21" s="95"/>
      <c r="D21" s="139">
        <v>3154457</v>
      </c>
      <c r="E21" s="95"/>
      <c r="F21" s="142">
        <f>(D21-B21)/B21</f>
        <v>0.5441504804823474</v>
      </c>
      <c r="G21" s="141"/>
      <c r="I21" s="276"/>
      <c r="J21" s="323"/>
    </row>
    <row r="22" spans="1:10" s="137" customFormat="1" ht="12.75">
      <c r="A22" s="234" t="s">
        <v>262</v>
      </c>
      <c r="B22" s="232">
        <v>3071367</v>
      </c>
      <c r="C22" s="235"/>
      <c r="D22" s="232">
        <v>3097116</v>
      </c>
      <c r="E22" s="235"/>
      <c r="F22" s="233">
        <f>(D22-B22)/B22</f>
        <v>0.008383563410038592</v>
      </c>
      <c r="G22" s="141"/>
      <c r="I22" s="276"/>
      <c r="J22" s="321"/>
    </row>
    <row r="23" spans="1:10" s="137" customFormat="1" ht="12.75">
      <c r="A23" s="117" t="s">
        <v>263</v>
      </c>
      <c r="B23" s="139">
        <v>2850056</v>
      </c>
      <c r="C23" s="95"/>
      <c r="D23" s="139">
        <v>2823538</v>
      </c>
      <c r="E23" s="95"/>
      <c r="F23" s="142">
        <f>(D23-B23)/B23</f>
        <v>-0.009304378580631397</v>
      </c>
      <c r="G23" s="141"/>
      <c r="I23" s="276"/>
      <c r="J23" s="323"/>
    </row>
    <row r="24" spans="1:10" s="137" customFormat="1" ht="12.75">
      <c r="A24" s="234" t="s">
        <v>264</v>
      </c>
      <c r="B24" s="232">
        <v>1295693</v>
      </c>
      <c r="C24" s="235"/>
      <c r="D24" s="232">
        <v>2265231</v>
      </c>
      <c r="E24" s="235"/>
      <c r="F24" s="233">
        <f t="shared" si="0"/>
        <v>0.7482775626633779</v>
      </c>
      <c r="G24" s="141"/>
      <c r="I24" s="276"/>
      <c r="J24" s="321"/>
    </row>
    <row r="25" spans="1:10" s="137" customFormat="1" ht="12.75">
      <c r="A25" s="137" t="s">
        <v>107</v>
      </c>
      <c r="B25" s="139">
        <f>B27-SUM(B5:B24)</f>
        <v>27140184</v>
      </c>
      <c r="C25" s="95"/>
      <c r="D25" s="139">
        <f>D27-SUM(D5:D24)</f>
        <v>29564016</v>
      </c>
      <c r="E25" s="95"/>
      <c r="F25" s="142">
        <f t="shared" si="0"/>
        <v>0.08930786909919254</v>
      </c>
      <c r="G25" s="141"/>
      <c r="I25" s="276"/>
      <c r="J25" s="318"/>
    </row>
    <row r="26" spans="6:10" s="137" customFormat="1" ht="12">
      <c r="F26" s="140"/>
      <c r="G26" s="141"/>
      <c r="I26" s="276"/>
      <c r="J26" s="276"/>
    </row>
    <row r="27" spans="1:10" s="137" customFormat="1" ht="12">
      <c r="A27" s="223" t="s">
        <v>1</v>
      </c>
      <c r="B27" s="227">
        <v>156105304</v>
      </c>
      <c r="C27" s="223"/>
      <c r="D27" s="227">
        <v>172964045</v>
      </c>
      <c r="E27" s="223"/>
      <c r="F27" s="228">
        <f>(D27-B27)/B27</f>
        <v>0.10799595252701984</v>
      </c>
      <c r="G27" s="106"/>
      <c r="I27" s="276"/>
      <c r="J27" s="276"/>
    </row>
    <row r="29" spans="9:11" ht="12.75">
      <c r="I29" s="324"/>
      <c r="J29" s="324"/>
      <c r="K29" s="324"/>
    </row>
    <row r="30" spans="1:11" ht="12.75">
      <c r="A30" s="223" t="s">
        <v>111</v>
      </c>
      <c r="B30" s="224">
        <v>2017</v>
      </c>
      <c r="C30" s="229"/>
      <c r="D30" s="224">
        <v>2018</v>
      </c>
      <c r="E30" s="229"/>
      <c r="F30" s="226" t="s">
        <v>109</v>
      </c>
      <c r="I30" s="324"/>
      <c r="J30" s="325"/>
      <c r="K30" s="324"/>
    </row>
    <row r="31" spans="1:11" ht="12.75">
      <c r="A31" s="137"/>
      <c r="B31" s="137"/>
      <c r="I31" s="324"/>
      <c r="J31" s="319"/>
      <c r="K31" s="324"/>
    </row>
    <row r="32" spans="1:11" ht="12.75">
      <c r="A32" s="148" t="s">
        <v>141</v>
      </c>
      <c r="B32" s="139">
        <v>29108782</v>
      </c>
      <c r="D32" s="139">
        <v>29415264</v>
      </c>
      <c r="F32" s="142">
        <f aca="true" t="shared" si="1" ref="F32:F50">(D32-B32)/B32</f>
        <v>0.010528850021962443</v>
      </c>
      <c r="I32" s="324"/>
      <c r="J32" s="321"/>
      <c r="K32" s="324"/>
    </row>
    <row r="33" spans="1:11" ht="12.75">
      <c r="A33" s="234" t="s">
        <v>145</v>
      </c>
      <c r="B33" s="232">
        <v>20938670</v>
      </c>
      <c r="C33" s="235"/>
      <c r="D33" s="232">
        <v>25047703</v>
      </c>
      <c r="E33" s="235"/>
      <c r="F33" s="233">
        <f>(D33-B33)/B33</f>
        <v>0.19624135630391043</v>
      </c>
      <c r="I33" s="324"/>
      <c r="J33" s="321"/>
      <c r="K33" s="324"/>
    </row>
    <row r="34" spans="1:11" ht="12.75">
      <c r="A34" s="117" t="s">
        <v>265</v>
      </c>
      <c r="B34" s="139">
        <v>22603418</v>
      </c>
      <c r="D34" s="139">
        <v>22739686</v>
      </c>
      <c r="F34" s="142">
        <f t="shared" si="1"/>
        <v>0.006028645756141837</v>
      </c>
      <c r="I34" s="324"/>
      <c r="J34" s="321"/>
      <c r="K34" s="324"/>
    </row>
    <row r="35" spans="1:11" ht="12.75">
      <c r="A35" s="231" t="s">
        <v>147</v>
      </c>
      <c r="B35" s="232">
        <v>16279407</v>
      </c>
      <c r="C35" s="235"/>
      <c r="D35" s="232">
        <v>20365834</v>
      </c>
      <c r="E35" s="235"/>
      <c r="F35" s="233">
        <f t="shared" si="1"/>
        <v>0.2510181728363939</v>
      </c>
      <c r="I35" s="324"/>
      <c r="J35" s="321"/>
      <c r="K35" s="324"/>
    </row>
    <row r="36" spans="1:11" ht="12.75">
      <c r="A36" s="148" t="s">
        <v>146</v>
      </c>
      <c r="B36" s="139">
        <v>11380985</v>
      </c>
      <c r="D36" s="139">
        <v>14577833</v>
      </c>
      <c r="F36" s="142">
        <f>(D36-B36)/B36</f>
        <v>0.28089378907010243</v>
      </c>
      <c r="I36" s="324"/>
      <c r="J36" s="321"/>
      <c r="K36" s="324"/>
    </row>
    <row r="37" spans="1:11" ht="12.75">
      <c r="A37" s="231" t="s">
        <v>144</v>
      </c>
      <c r="B37" s="232">
        <v>7981094</v>
      </c>
      <c r="C37" s="235"/>
      <c r="D37" s="232">
        <v>8337907</v>
      </c>
      <c r="E37" s="235"/>
      <c r="F37" s="233">
        <f t="shared" si="1"/>
        <v>0.04470727947822692</v>
      </c>
      <c r="I37" s="324"/>
      <c r="J37" s="321"/>
      <c r="K37" s="324"/>
    </row>
    <row r="38" spans="1:11" ht="12.75">
      <c r="A38" s="148" t="s">
        <v>140</v>
      </c>
      <c r="B38" s="139">
        <v>6985995</v>
      </c>
      <c r="D38" s="139">
        <v>7386196</v>
      </c>
      <c r="F38" s="142">
        <f>(D38-B38)/B38</f>
        <v>0.05728618471670822</v>
      </c>
      <c r="I38" s="324"/>
      <c r="J38" s="321"/>
      <c r="K38" s="324"/>
    </row>
    <row r="39" spans="1:11" ht="12.75">
      <c r="A39" s="231" t="s">
        <v>142</v>
      </c>
      <c r="B39" s="232">
        <v>5969387</v>
      </c>
      <c r="C39" s="235"/>
      <c r="D39" s="232">
        <v>6117510</v>
      </c>
      <c r="E39" s="235"/>
      <c r="F39" s="233">
        <f>(D39-B39)/B39</f>
        <v>0.024813770660203467</v>
      </c>
      <c r="I39" s="324"/>
      <c r="J39" s="321"/>
      <c r="K39" s="324"/>
    </row>
    <row r="40" spans="1:11" ht="12.75">
      <c r="A40" s="117" t="s">
        <v>202</v>
      </c>
      <c r="B40" s="139">
        <v>2181164</v>
      </c>
      <c r="D40" s="139">
        <v>4502186</v>
      </c>
      <c r="F40" s="142">
        <f>(D40-B40)/B40</f>
        <v>1.0641208088891987</v>
      </c>
      <c r="I40" s="324"/>
      <c r="J40" s="321"/>
      <c r="K40" s="324"/>
    </row>
    <row r="41" spans="1:11" ht="12.75">
      <c r="A41" s="231" t="s">
        <v>190</v>
      </c>
      <c r="B41" s="232">
        <v>3658576</v>
      </c>
      <c r="C41" s="235"/>
      <c r="D41" s="232">
        <v>4445423</v>
      </c>
      <c r="E41" s="235"/>
      <c r="F41" s="233">
        <f t="shared" si="1"/>
        <v>0.21506919632119165</v>
      </c>
      <c r="I41" s="324"/>
      <c r="J41" s="321"/>
      <c r="K41" s="324"/>
    </row>
    <row r="42" spans="1:11" ht="12.75">
      <c r="A42" s="117" t="s">
        <v>203</v>
      </c>
      <c r="B42" s="139">
        <v>1796370</v>
      </c>
      <c r="D42" s="139">
        <v>4394329</v>
      </c>
      <c r="F42" s="142">
        <f t="shared" si="1"/>
        <v>1.4462271135679174</v>
      </c>
      <c r="I42" s="324"/>
      <c r="J42" s="323"/>
      <c r="K42" s="324"/>
    </row>
    <row r="43" spans="1:11" ht="12.75">
      <c r="A43" s="234" t="s">
        <v>150</v>
      </c>
      <c r="B43" s="232">
        <v>4000257</v>
      </c>
      <c r="C43" s="235"/>
      <c r="D43" s="232">
        <v>4257220</v>
      </c>
      <c r="E43" s="235"/>
      <c r="F43" s="233">
        <f>(D43-B43)/B43</f>
        <v>0.06423662279698529</v>
      </c>
      <c r="I43" s="324"/>
      <c r="J43" s="321"/>
      <c r="K43" s="324"/>
    </row>
    <row r="44" spans="1:11" ht="12.75">
      <c r="A44" s="117" t="s">
        <v>148</v>
      </c>
      <c r="B44" s="139">
        <v>2994636</v>
      </c>
      <c r="D44" s="139">
        <v>3554818</v>
      </c>
      <c r="F44" s="142">
        <f>(D44-B44)/B44</f>
        <v>0.18706179983143192</v>
      </c>
      <c r="I44" s="324"/>
      <c r="J44" s="321"/>
      <c r="K44" s="324"/>
    </row>
    <row r="45" spans="1:11" ht="12.75">
      <c r="A45" s="234" t="s">
        <v>149</v>
      </c>
      <c r="B45" s="232">
        <v>3221812</v>
      </c>
      <c r="C45" s="235"/>
      <c r="D45" s="232">
        <v>3449201</v>
      </c>
      <c r="E45" s="235"/>
      <c r="F45" s="233">
        <f>(D45-B45)/B45</f>
        <v>0.07057798530764675</v>
      </c>
      <c r="I45" s="324"/>
      <c r="J45" s="321"/>
      <c r="K45" s="324"/>
    </row>
    <row r="46" spans="1:11" ht="12.75">
      <c r="A46" s="117" t="s">
        <v>266</v>
      </c>
      <c r="B46" s="139">
        <v>2860731</v>
      </c>
      <c r="D46" s="139">
        <v>2846715</v>
      </c>
      <c r="F46" s="142">
        <f>(D46-B46)/B46</f>
        <v>-0.004899447029448068</v>
      </c>
      <c r="I46" s="324"/>
      <c r="J46" s="321"/>
      <c r="K46" s="324"/>
    </row>
    <row r="47" spans="1:11" ht="12.75">
      <c r="A47" s="234" t="s">
        <v>188</v>
      </c>
      <c r="B47" s="232">
        <v>1529819</v>
      </c>
      <c r="C47" s="235"/>
      <c r="D47" s="232">
        <v>1791294</v>
      </c>
      <c r="E47" s="235"/>
      <c r="F47" s="233">
        <f t="shared" si="1"/>
        <v>0.1709189126295333</v>
      </c>
      <c r="I47" s="324"/>
      <c r="J47" s="323"/>
      <c r="K47" s="324"/>
    </row>
    <row r="48" spans="1:11" ht="12.75">
      <c r="A48" s="117" t="s">
        <v>143</v>
      </c>
      <c r="B48" s="139">
        <v>1651792</v>
      </c>
      <c r="D48" s="139">
        <v>1411495</v>
      </c>
      <c r="F48" s="142">
        <f t="shared" si="1"/>
        <v>-0.14547654910545638</v>
      </c>
      <c r="I48" s="324"/>
      <c r="J48" s="323"/>
      <c r="K48" s="324"/>
    </row>
    <row r="49" spans="1:11" ht="12.75">
      <c r="A49" s="234" t="s">
        <v>204</v>
      </c>
      <c r="B49" s="232">
        <v>1234033</v>
      </c>
      <c r="C49" s="235"/>
      <c r="D49" s="232">
        <v>1107946</v>
      </c>
      <c r="E49" s="235"/>
      <c r="F49" s="233">
        <f t="shared" si="1"/>
        <v>-0.10217473924927453</v>
      </c>
      <c r="I49" s="324"/>
      <c r="J49" s="321"/>
      <c r="K49" s="324"/>
    </row>
    <row r="50" spans="1:11" ht="12.75">
      <c r="A50" s="117" t="s">
        <v>267</v>
      </c>
      <c r="B50" s="139">
        <v>468441</v>
      </c>
      <c r="D50" s="139">
        <v>754752</v>
      </c>
      <c r="F50" s="142">
        <f t="shared" si="1"/>
        <v>0.6111997028441148</v>
      </c>
      <c r="I50" s="324"/>
      <c r="J50" s="323"/>
      <c r="K50" s="324"/>
    </row>
    <row r="51" spans="1:11" ht="12.75">
      <c r="A51" s="234" t="s">
        <v>189</v>
      </c>
      <c r="B51" s="232">
        <v>1979792</v>
      </c>
      <c r="C51" s="235"/>
      <c r="D51" s="232">
        <v>627871</v>
      </c>
      <c r="E51" s="235"/>
      <c r="F51" s="233">
        <f>(D51-B51)/B51</f>
        <v>-0.6828601186387256</v>
      </c>
      <c r="I51" s="324"/>
      <c r="J51" s="321"/>
      <c r="K51" s="324"/>
    </row>
    <row r="52" spans="1:11" ht="12.75">
      <c r="A52" s="137" t="s">
        <v>108</v>
      </c>
      <c r="B52" s="139">
        <f>B54-SUM(B32:B51)</f>
        <v>7280143</v>
      </c>
      <c r="D52" s="139">
        <f>D54-SUM(D32:D51)</f>
        <v>5832862</v>
      </c>
      <c r="F52" s="142">
        <f>(D52-B52)/B52</f>
        <v>-0.19879843019567062</v>
      </c>
      <c r="I52" s="324"/>
      <c r="J52" s="319"/>
      <c r="K52" s="324"/>
    </row>
    <row r="53" spans="1:13" ht="12.75">
      <c r="A53" s="137"/>
      <c r="B53" s="137"/>
      <c r="F53" s="143"/>
      <c r="I53" s="322"/>
      <c r="J53" s="319"/>
      <c r="K53" s="324"/>
      <c r="L53" s="324"/>
      <c r="M53" s="324"/>
    </row>
    <row r="54" spans="1:13" ht="12.75">
      <c r="A54" s="223" t="s">
        <v>1</v>
      </c>
      <c r="B54" s="227">
        <v>156105304</v>
      </c>
      <c r="C54" s="230"/>
      <c r="D54" s="227">
        <v>172964045</v>
      </c>
      <c r="E54" s="230"/>
      <c r="F54" s="228">
        <f>(D54-B54)/B54</f>
        <v>0.10799595252701984</v>
      </c>
      <c r="I54" s="324"/>
      <c r="J54" s="325"/>
      <c r="K54" s="324"/>
      <c r="L54" s="324"/>
      <c r="M54" s="324"/>
    </row>
    <row r="55" spans="9:13" ht="12.75">
      <c r="I55" s="324"/>
      <c r="J55" s="325"/>
      <c r="K55" s="320"/>
      <c r="L55" s="324"/>
      <c r="M55" s="324"/>
    </row>
    <row r="56" spans="1:13" ht="12.75">
      <c r="A56" s="223" t="s">
        <v>112</v>
      </c>
      <c r="B56" s="224">
        <v>2017</v>
      </c>
      <c r="C56" s="230"/>
      <c r="D56" s="224">
        <v>2018</v>
      </c>
      <c r="E56" s="224"/>
      <c r="F56" s="226" t="s">
        <v>109</v>
      </c>
      <c r="J56" s="319"/>
      <c r="K56" s="324"/>
      <c r="L56" s="324"/>
      <c r="M56" s="324"/>
    </row>
    <row r="57" spans="1:13" ht="12.75">
      <c r="A57" s="137"/>
      <c r="B57" s="137"/>
      <c r="I57" s="279"/>
      <c r="J57" s="321"/>
      <c r="K57" s="322"/>
      <c r="L57" s="324"/>
      <c r="M57" s="324"/>
    </row>
    <row r="58" spans="1:13" ht="12.75">
      <c r="A58" s="148" t="s">
        <v>165</v>
      </c>
      <c r="B58" s="139">
        <v>22924483</v>
      </c>
      <c r="D58" s="139">
        <v>23308023</v>
      </c>
      <c r="F58" s="142">
        <f aca="true" t="shared" si="2" ref="F58:F78">(D58-B58)/B58</f>
        <v>0.016730584502167398</v>
      </c>
      <c r="I58" s="277"/>
      <c r="J58" s="321"/>
      <c r="K58" s="322"/>
      <c r="L58" s="324"/>
      <c r="M58" s="324"/>
    </row>
    <row r="59" spans="1:13" ht="12.75">
      <c r="A59" s="234" t="s">
        <v>138</v>
      </c>
      <c r="B59" s="232">
        <v>16315018</v>
      </c>
      <c r="C59" s="235"/>
      <c r="D59" s="232">
        <v>20365834</v>
      </c>
      <c r="E59" s="235"/>
      <c r="F59" s="233">
        <f t="shared" si="2"/>
        <v>0.248287559351758</v>
      </c>
      <c r="I59" s="277"/>
      <c r="J59" s="321"/>
      <c r="K59" s="322"/>
      <c r="L59" s="324"/>
      <c r="M59" s="324"/>
    </row>
    <row r="60" spans="1:13" ht="12.75">
      <c r="A60" s="117" t="s">
        <v>158</v>
      </c>
      <c r="B60" s="139">
        <v>16520366</v>
      </c>
      <c r="D60" s="139">
        <v>17259429</v>
      </c>
      <c r="F60" s="142">
        <f t="shared" si="2"/>
        <v>0.04473647859859763</v>
      </c>
      <c r="I60" s="277"/>
      <c r="J60" s="321"/>
      <c r="K60" s="322"/>
      <c r="L60" s="324"/>
      <c r="M60" s="324"/>
    </row>
    <row r="61" spans="1:13" ht="12.75">
      <c r="A61" s="231" t="s">
        <v>159</v>
      </c>
      <c r="B61" s="232">
        <v>15776268</v>
      </c>
      <c r="C61" s="235"/>
      <c r="D61" s="232">
        <v>16046405</v>
      </c>
      <c r="E61" s="235"/>
      <c r="F61" s="233">
        <f t="shared" si="2"/>
        <v>0.017122997656987063</v>
      </c>
      <c r="I61" s="277"/>
      <c r="J61" s="321"/>
      <c r="K61" s="322"/>
      <c r="L61" s="324"/>
      <c r="M61" s="324"/>
    </row>
    <row r="62" spans="1:13" ht="12.75">
      <c r="A62" s="148" t="s">
        <v>137</v>
      </c>
      <c r="B62" s="139">
        <v>12212664</v>
      </c>
      <c r="D62" s="139">
        <v>12964437</v>
      </c>
      <c r="F62" s="142">
        <f t="shared" si="2"/>
        <v>0.06155683968706582</v>
      </c>
      <c r="I62" s="277"/>
      <c r="J62" s="321"/>
      <c r="K62" s="322"/>
      <c r="L62" s="324"/>
      <c r="M62" s="324"/>
    </row>
    <row r="63" spans="1:13" ht="12.75">
      <c r="A63" s="231" t="s">
        <v>136</v>
      </c>
      <c r="B63" s="232">
        <v>10814337</v>
      </c>
      <c r="C63" s="235"/>
      <c r="D63" s="232">
        <v>12485790</v>
      </c>
      <c r="E63" s="235"/>
      <c r="F63" s="233">
        <f t="shared" si="2"/>
        <v>0.1545589896079621</v>
      </c>
      <c r="I63" s="277"/>
      <c r="J63" s="321"/>
      <c r="K63" s="322"/>
      <c r="L63" s="324"/>
      <c r="M63" s="324"/>
    </row>
    <row r="64" spans="1:13" ht="12.75">
      <c r="A64" s="148" t="s">
        <v>160</v>
      </c>
      <c r="B64" s="139">
        <v>5700042</v>
      </c>
      <c r="D64" s="139">
        <v>5649032</v>
      </c>
      <c r="F64" s="142">
        <f t="shared" si="2"/>
        <v>-0.008949056866598528</v>
      </c>
      <c r="I64" s="277"/>
      <c r="J64" s="321"/>
      <c r="K64" s="322"/>
      <c r="L64" s="324"/>
      <c r="M64" s="324"/>
    </row>
    <row r="65" spans="1:13" ht="12.75">
      <c r="A65" s="231" t="s">
        <v>135</v>
      </c>
      <c r="B65" s="232">
        <v>5362990</v>
      </c>
      <c r="C65" s="235"/>
      <c r="D65" s="232">
        <v>5299382</v>
      </c>
      <c r="E65" s="235"/>
      <c r="F65" s="233">
        <f t="shared" si="2"/>
        <v>-0.011860547940607757</v>
      </c>
      <c r="I65" s="277"/>
      <c r="J65" s="321"/>
      <c r="K65" s="322"/>
      <c r="L65" s="324"/>
      <c r="M65" s="324"/>
    </row>
    <row r="66" spans="1:13" ht="12.75">
      <c r="A66" s="117" t="s">
        <v>206</v>
      </c>
      <c r="B66" s="139">
        <v>2766553</v>
      </c>
      <c r="D66" s="139">
        <v>4505236</v>
      </c>
      <c r="F66" s="142">
        <f t="shared" si="2"/>
        <v>0.6284654586411321</v>
      </c>
      <c r="I66" s="277"/>
      <c r="J66" s="321"/>
      <c r="K66" s="322"/>
      <c r="L66" s="324"/>
      <c r="M66" s="324"/>
    </row>
    <row r="67" spans="1:13" ht="12.75">
      <c r="A67" s="234" t="s">
        <v>192</v>
      </c>
      <c r="B67" s="232">
        <v>4000257</v>
      </c>
      <c r="C67" s="235"/>
      <c r="D67" s="232">
        <v>4261625</v>
      </c>
      <c r="E67" s="235"/>
      <c r="F67" s="233">
        <f t="shared" si="2"/>
        <v>0.06533780204621853</v>
      </c>
      <c r="I67" s="277"/>
      <c r="J67" s="323"/>
      <c r="K67" s="322"/>
      <c r="L67" s="324"/>
      <c r="M67" s="324"/>
    </row>
    <row r="68" spans="1:13" ht="12.75">
      <c r="A68" s="117" t="s">
        <v>139</v>
      </c>
      <c r="B68" s="139">
        <v>3932647</v>
      </c>
      <c r="D68" s="139">
        <v>4151223</v>
      </c>
      <c r="F68" s="142">
        <f t="shared" si="2"/>
        <v>0.05557986770742454</v>
      </c>
      <c r="I68" s="277"/>
      <c r="J68" s="321"/>
      <c r="K68" s="322"/>
      <c r="L68" s="324"/>
      <c r="M68" s="324"/>
    </row>
    <row r="69" spans="1:13" ht="12.75">
      <c r="A69" s="234" t="s">
        <v>268</v>
      </c>
      <c r="B69" s="232">
        <v>1255065</v>
      </c>
      <c r="C69" s="235"/>
      <c r="D69" s="232">
        <v>4130418</v>
      </c>
      <c r="E69" s="235"/>
      <c r="F69" s="233">
        <f t="shared" si="2"/>
        <v>2.290999270954094</v>
      </c>
      <c r="I69" s="277"/>
      <c r="J69" s="321"/>
      <c r="K69" s="322"/>
      <c r="L69" s="324"/>
      <c r="M69" s="324"/>
    </row>
    <row r="70" spans="1:13" ht="12.75">
      <c r="A70" s="117" t="s">
        <v>207</v>
      </c>
      <c r="B70" s="139">
        <v>2181164</v>
      </c>
      <c r="D70" s="139">
        <v>3606343</v>
      </c>
      <c r="F70" s="142">
        <f t="shared" si="2"/>
        <v>0.6534029536522701</v>
      </c>
      <c r="I70" s="277"/>
      <c r="J70" s="321"/>
      <c r="K70" s="322"/>
      <c r="L70" s="324"/>
      <c r="M70" s="324"/>
    </row>
    <row r="71" spans="1:13" ht="12.75">
      <c r="A71" s="234" t="s">
        <v>170</v>
      </c>
      <c r="B71" s="232">
        <v>3221812</v>
      </c>
      <c r="C71" s="235"/>
      <c r="D71" s="232">
        <v>3449201</v>
      </c>
      <c r="E71" s="235"/>
      <c r="F71" s="233">
        <f t="shared" si="2"/>
        <v>0.07057798530764675</v>
      </c>
      <c r="I71" s="278"/>
      <c r="J71" s="321"/>
      <c r="K71" s="322"/>
      <c r="L71" s="324"/>
      <c r="M71" s="324"/>
    </row>
    <row r="72" spans="1:13" ht="12.75">
      <c r="A72" s="117" t="s">
        <v>205</v>
      </c>
      <c r="B72" s="139">
        <v>3105438</v>
      </c>
      <c r="D72" s="139">
        <v>3252695</v>
      </c>
      <c r="F72" s="142">
        <f t="shared" si="2"/>
        <v>0.047419075827628825</v>
      </c>
      <c r="I72" s="277"/>
      <c r="J72" s="323"/>
      <c r="K72" s="322"/>
      <c r="L72" s="324"/>
      <c r="M72" s="324"/>
    </row>
    <row r="73" spans="1:13" ht="12.75">
      <c r="A73" s="234" t="s">
        <v>191</v>
      </c>
      <c r="B73" s="232">
        <v>2885787</v>
      </c>
      <c r="C73" s="235"/>
      <c r="D73" s="232">
        <v>3050909</v>
      </c>
      <c r="E73" s="235"/>
      <c r="F73" s="233">
        <f t="shared" si="2"/>
        <v>0.057219053242668294</v>
      </c>
      <c r="I73" s="278"/>
      <c r="J73" s="323"/>
      <c r="K73" s="322"/>
      <c r="L73" s="324"/>
      <c r="M73" s="324"/>
    </row>
    <row r="74" spans="1:13" ht="12.75">
      <c r="A74" s="117" t="s">
        <v>269</v>
      </c>
      <c r="B74" s="139">
        <v>3642418</v>
      </c>
      <c r="D74" s="139">
        <v>2744558</v>
      </c>
      <c r="F74" s="142">
        <f t="shared" si="2"/>
        <v>-0.2465010880135119</v>
      </c>
      <c r="I74" s="278"/>
      <c r="J74" s="321"/>
      <c r="K74" s="322"/>
      <c r="L74" s="324"/>
      <c r="M74" s="324"/>
    </row>
    <row r="75" spans="1:13" ht="12.75">
      <c r="A75" s="234" t="s">
        <v>270</v>
      </c>
      <c r="B75" s="232">
        <v>2850056</v>
      </c>
      <c r="C75" s="235"/>
      <c r="D75" s="232">
        <v>2673538</v>
      </c>
      <c r="E75" s="235"/>
      <c r="F75" s="233">
        <f t="shared" si="2"/>
        <v>-0.06193492338396158</v>
      </c>
      <c r="I75" s="278"/>
      <c r="J75" s="323"/>
      <c r="K75" s="322"/>
      <c r="L75" s="324"/>
      <c r="M75" s="324"/>
    </row>
    <row r="76" spans="1:13" ht="12.75">
      <c r="A76" s="117" t="s">
        <v>161</v>
      </c>
      <c r="B76" s="139">
        <v>2659322</v>
      </c>
      <c r="D76" s="139">
        <v>2603237</v>
      </c>
      <c r="F76" s="142">
        <f t="shared" si="2"/>
        <v>-0.021089962027915386</v>
      </c>
      <c r="I76" s="278"/>
      <c r="J76" s="321"/>
      <c r="K76" s="322"/>
      <c r="L76" s="324"/>
      <c r="M76" s="324"/>
    </row>
    <row r="77" spans="1:13" ht="12.75">
      <c r="A77" s="234" t="s">
        <v>271</v>
      </c>
      <c r="B77" s="232">
        <v>1224652</v>
      </c>
      <c r="C77" s="235"/>
      <c r="D77" s="232">
        <v>2506950</v>
      </c>
      <c r="E77" s="235"/>
      <c r="F77" s="233">
        <f t="shared" si="2"/>
        <v>1.0470713312843158</v>
      </c>
      <c r="I77" s="278"/>
      <c r="J77" s="319"/>
      <c r="K77" s="322"/>
      <c r="L77" s="324"/>
      <c r="M77" s="324"/>
    </row>
    <row r="78" spans="1:13" ht="12.75">
      <c r="A78" s="137" t="s">
        <v>107</v>
      </c>
      <c r="B78" s="139">
        <f>B80-SUM(B58:B77)</f>
        <v>16753965</v>
      </c>
      <c r="D78" s="139">
        <f>D80-SUM(D58:D77)</f>
        <v>18649780</v>
      </c>
      <c r="F78" s="142">
        <f t="shared" si="2"/>
        <v>0.11315619914450102</v>
      </c>
      <c r="I78" s="276"/>
      <c r="J78" s="319"/>
      <c r="K78" s="324"/>
      <c r="L78" s="324"/>
      <c r="M78" s="324"/>
    </row>
    <row r="79" spans="1:13" ht="12.75">
      <c r="A79" s="137"/>
      <c r="B79" s="139"/>
      <c r="F79" s="142"/>
      <c r="I79" s="279"/>
      <c r="J79" s="325"/>
      <c r="K79" s="326"/>
      <c r="L79" s="324"/>
      <c r="M79" s="324"/>
    </row>
    <row r="80" spans="1:13" ht="12.75">
      <c r="A80" s="223"/>
      <c r="B80" s="227">
        <v>156105304</v>
      </c>
      <c r="C80" s="230"/>
      <c r="D80" s="227">
        <v>172964045</v>
      </c>
      <c r="E80" s="230"/>
      <c r="F80" s="228">
        <f>(D80-B80)/B80</f>
        <v>0.10799595252701984</v>
      </c>
      <c r="I80" s="279"/>
      <c r="J80" s="324"/>
      <c r="K80" s="324"/>
      <c r="L80" s="324"/>
      <c r="M80" s="324"/>
    </row>
    <row r="81" spans="1:13" ht="12.75">
      <c r="A81" s="162" t="s">
        <v>77</v>
      </c>
      <c r="I81" s="279"/>
      <c r="J81" s="324"/>
      <c r="K81" s="324"/>
      <c r="L81" s="324"/>
      <c r="M81" s="324"/>
    </row>
    <row r="82" spans="10:13" ht="12.75">
      <c r="J82" s="324"/>
      <c r="K82" s="324"/>
      <c r="L82" s="324"/>
      <c r="M82" s="324"/>
    </row>
    <row r="83" spans="10:13" ht="12.75">
      <c r="J83" s="324"/>
      <c r="K83" s="324"/>
      <c r="L83" s="324"/>
      <c r="M83" s="324"/>
    </row>
  </sheetData>
  <sheetProtection/>
  <printOptions/>
  <pageMargins left="0.1968503937007874" right="0.1968503937007874" top="0.984251968503937" bottom="0.984251968503937" header="0" footer="0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zoomScalePageLayoutView="0" workbookViewId="0" topLeftCell="A19">
      <selection activeCell="K45" sqref="K45"/>
    </sheetView>
  </sheetViews>
  <sheetFormatPr defaultColWidth="11.421875" defaultRowHeight="12.75"/>
  <cols>
    <col min="1" max="4" width="8.7109375" style="0" customWidth="1"/>
    <col min="5" max="5" width="1.7109375" style="0" customWidth="1"/>
    <col min="6" max="8" width="8.7109375" style="0" customWidth="1"/>
    <col min="9" max="9" width="1.7109375" style="0" customWidth="1"/>
    <col min="10" max="12" width="8.7109375" style="0" customWidth="1"/>
  </cols>
  <sheetData>
    <row r="1" spans="1:12" ht="15">
      <c r="A1" s="1" t="s">
        <v>245</v>
      </c>
      <c r="B1" s="2"/>
      <c r="C1" s="2"/>
      <c r="D1" s="2"/>
      <c r="E1" s="3"/>
      <c r="F1" s="2"/>
      <c r="G1" s="2"/>
      <c r="H1" s="2"/>
      <c r="I1" s="3"/>
      <c r="J1" s="2"/>
      <c r="K1" s="2"/>
      <c r="L1" s="2"/>
    </row>
    <row r="2" spans="1:12" ht="15">
      <c r="A2" s="1"/>
      <c r="B2" s="2"/>
      <c r="C2" s="2"/>
      <c r="D2" s="2"/>
      <c r="E2" s="3"/>
      <c r="F2" s="2"/>
      <c r="G2" s="2"/>
      <c r="H2" s="2"/>
      <c r="I2" s="3"/>
      <c r="J2" s="2"/>
      <c r="K2" s="2"/>
      <c r="L2" s="2"/>
    </row>
    <row r="3" spans="1:12" ht="12.75">
      <c r="A3" s="36"/>
      <c r="B3" s="18"/>
      <c r="C3" s="18"/>
      <c r="D3" s="18"/>
      <c r="E3" s="19"/>
      <c r="F3" s="18"/>
      <c r="G3" s="18"/>
      <c r="H3" s="18"/>
      <c r="I3" s="19"/>
      <c r="J3" s="18"/>
      <c r="K3" s="18"/>
      <c r="L3" s="18"/>
    </row>
    <row r="4" spans="1:12" ht="12.75">
      <c r="A4" s="196"/>
      <c r="B4" s="197" t="s">
        <v>0</v>
      </c>
      <c r="C4" s="197"/>
      <c r="D4" s="197"/>
      <c r="E4" s="198"/>
      <c r="F4" s="197" t="s">
        <v>7</v>
      </c>
      <c r="G4" s="197"/>
      <c r="H4" s="197"/>
      <c r="I4" s="198"/>
      <c r="J4" s="197" t="s">
        <v>10</v>
      </c>
      <c r="K4" s="197"/>
      <c r="L4" s="197"/>
    </row>
    <row r="5" spans="1:12" ht="12.75">
      <c r="A5" s="199"/>
      <c r="B5" s="200" t="s">
        <v>11</v>
      </c>
      <c r="C5" s="200" t="s">
        <v>12</v>
      </c>
      <c r="D5" s="200"/>
      <c r="E5" s="201"/>
      <c r="F5" s="200" t="s">
        <v>11</v>
      </c>
      <c r="G5" s="200" t="s">
        <v>12</v>
      </c>
      <c r="H5" s="200"/>
      <c r="I5" s="201"/>
      <c r="J5" s="200" t="s">
        <v>11</v>
      </c>
      <c r="K5" s="200" t="s">
        <v>12</v>
      </c>
      <c r="L5" s="200"/>
    </row>
    <row r="6" spans="1:12" ht="12.75">
      <c r="A6" s="189"/>
      <c r="B6" s="185" t="s">
        <v>13</v>
      </c>
      <c r="C6" s="185" t="s">
        <v>13</v>
      </c>
      <c r="D6" s="185" t="s">
        <v>1</v>
      </c>
      <c r="E6" s="187"/>
      <c r="F6" s="185" t="s">
        <v>13</v>
      </c>
      <c r="G6" s="185" t="s">
        <v>13</v>
      </c>
      <c r="H6" s="185" t="s">
        <v>1</v>
      </c>
      <c r="I6" s="187"/>
      <c r="J6" s="185" t="s">
        <v>13</v>
      </c>
      <c r="K6" s="185" t="s">
        <v>13</v>
      </c>
      <c r="L6" s="185" t="s">
        <v>1</v>
      </c>
    </row>
    <row r="7" spans="1:12" ht="12.75">
      <c r="A7" s="17"/>
      <c r="B7" s="18"/>
      <c r="C7" s="18"/>
      <c r="D7" s="18"/>
      <c r="E7" s="19"/>
      <c r="F7" s="18"/>
      <c r="G7" s="18"/>
      <c r="H7" s="18"/>
      <c r="I7" s="19"/>
      <c r="J7" s="18"/>
      <c r="K7" s="18"/>
      <c r="L7" s="18"/>
    </row>
    <row r="8" spans="1:12" ht="12.75" hidden="1">
      <c r="A8" s="21">
        <v>1986</v>
      </c>
      <c r="B8" s="42" t="s">
        <v>9</v>
      </c>
      <c r="C8" s="22">
        <v>5282</v>
      </c>
      <c r="D8" s="22">
        <v>5282</v>
      </c>
      <c r="E8" s="23"/>
      <c r="F8" s="42" t="s">
        <v>9</v>
      </c>
      <c r="G8" s="22">
        <v>738166</v>
      </c>
      <c r="H8" s="22">
        <v>738166</v>
      </c>
      <c r="I8" s="23"/>
      <c r="J8" s="42" t="s">
        <v>9</v>
      </c>
      <c r="K8" s="42" t="s">
        <v>9</v>
      </c>
      <c r="L8" s="42" t="s">
        <v>9</v>
      </c>
    </row>
    <row r="9" spans="1:12" ht="12.75">
      <c r="A9" s="21">
        <v>1987</v>
      </c>
      <c r="B9" s="42">
        <v>0</v>
      </c>
      <c r="C9" s="22">
        <v>5252</v>
      </c>
      <c r="D9" s="22">
        <v>5252</v>
      </c>
      <c r="E9" s="23"/>
      <c r="F9" s="42">
        <v>0</v>
      </c>
      <c r="G9" s="22">
        <v>774930</v>
      </c>
      <c r="H9" s="22">
        <v>774930</v>
      </c>
      <c r="I9" s="23"/>
      <c r="J9" s="42">
        <v>0</v>
      </c>
      <c r="K9" s="42">
        <v>0</v>
      </c>
      <c r="L9" s="42">
        <f>SUM(J9:K9)</f>
        <v>0</v>
      </c>
    </row>
    <row r="10" spans="1:12" ht="12.75">
      <c r="A10" s="195">
        <v>1988</v>
      </c>
      <c r="B10" s="236">
        <v>36</v>
      </c>
      <c r="C10" s="236">
        <v>5249</v>
      </c>
      <c r="D10" s="236">
        <v>5285</v>
      </c>
      <c r="E10" s="232"/>
      <c r="F10" s="236">
        <v>1533</v>
      </c>
      <c r="G10" s="236">
        <v>724054</v>
      </c>
      <c r="H10" s="236">
        <v>725587</v>
      </c>
      <c r="I10" s="232"/>
      <c r="J10" s="191">
        <v>0</v>
      </c>
      <c r="K10" s="191">
        <v>0</v>
      </c>
      <c r="L10" s="191">
        <f>SUM(J10:K10)</f>
        <v>0</v>
      </c>
    </row>
    <row r="11" spans="1:12" ht="12.75">
      <c r="A11" s="21">
        <v>1989</v>
      </c>
      <c r="B11" s="22">
        <v>22</v>
      </c>
      <c r="C11" s="22">
        <v>4280</v>
      </c>
      <c r="D11" s="22">
        <v>4302</v>
      </c>
      <c r="E11" s="23"/>
      <c r="F11" s="22">
        <v>1000</v>
      </c>
      <c r="G11" s="22">
        <v>616000</v>
      </c>
      <c r="H11" s="22">
        <v>617000</v>
      </c>
      <c r="I11" s="23"/>
      <c r="J11" s="42">
        <v>0</v>
      </c>
      <c r="K11" s="42">
        <v>0</v>
      </c>
      <c r="L11" s="42">
        <f>SUM(J11:K11)</f>
        <v>0</v>
      </c>
    </row>
    <row r="12" spans="1:12" ht="12.75">
      <c r="A12" s="195">
        <v>1990</v>
      </c>
      <c r="B12" s="236">
        <v>199</v>
      </c>
      <c r="C12" s="236">
        <v>3154</v>
      </c>
      <c r="D12" s="236">
        <v>3353</v>
      </c>
      <c r="E12" s="232"/>
      <c r="F12" s="236">
        <v>9049</v>
      </c>
      <c r="G12" s="236">
        <v>393159</v>
      </c>
      <c r="H12" s="236">
        <v>402208</v>
      </c>
      <c r="I12" s="232"/>
      <c r="J12" s="191">
        <v>0</v>
      </c>
      <c r="K12" s="191">
        <v>0</v>
      </c>
      <c r="L12" s="191">
        <f>SUM(J12:K12)</f>
        <v>0</v>
      </c>
    </row>
    <row r="13" spans="1:12" ht="12.75">
      <c r="A13" s="21">
        <v>1991</v>
      </c>
      <c r="B13" s="22">
        <v>4</v>
      </c>
      <c r="C13" s="22">
        <v>2360</v>
      </c>
      <c r="D13" s="22">
        <v>2364</v>
      </c>
      <c r="E13" s="23"/>
      <c r="F13" s="22">
        <v>130</v>
      </c>
      <c r="G13" s="22">
        <v>283458</v>
      </c>
      <c r="H13" s="22">
        <v>283588</v>
      </c>
      <c r="I13" s="23"/>
      <c r="J13" s="42">
        <v>0</v>
      </c>
      <c r="K13" s="22">
        <v>23</v>
      </c>
      <c r="L13" s="22">
        <v>23</v>
      </c>
    </row>
    <row r="14" spans="1:12" ht="12.75">
      <c r="A14" s="195">
        <v>1992</v>
      </c>
      <c r="B14" s="191">
        <v>0</v>
      </c>
      <c r="C14" s="236">
        <v>2348</v>
      </c>
      <c r="D14" s="236">
        <v>2348</v>
      </c>
      <c r="E14" s="232"/>
      <c r="F14" s="191">
        <v>0</v>
      </c>
      <c r="G14" s="236">
        <v>286957</v>
      </c>
      <c r="H14" s="236">
        <v>286957</v>
      </c>
      <c r="I14" s="232"/>
      <c r="J14" s="191">
        <v>0</v>
      </c>
      <c r="K14" s="236">
        <v>193</v>
      </c>
      <c r="L14" s="236">
        <v>193</v>
      </c>
    </row>
    <row r="15" spans="1:12" ht="12.75">
      <c r="A15" s="21">
        <v>1993</v>
      </c>
      <c r="B15" s="22">
        <v>50</v>
      </c>
      <c r="C15" s="22">
        <v>2100</v>
      </c>
      <c r="D15" s="22">
        <v>2150</v>
      </c>
      <c r="E15" s="23"/>
      <c r="F15" s="22">
        <v>9932</v>
      </c>
      <c r="G15" s="22">
        <v>246125</v>
      </c>
      <c r="H15" s="22">
        <v>256057</v>
      </c>
      <c r="I15" s="23"/>
      <c r="J15" s="42">
        <v>0</v>
      </c>
      <c r="K15" s="22">
        <v>97</v>
      </c>
      <c r="L15" s="22">
        <v>97</v>
      </c>
    </row>
    <row r="16" spans="1:12" ht="12.75">
      <c r="A16" s="195">
        <v>1994</v>
      </c>
      <c r="B16" s="236">
        <v>77</v>
      </c>
      <c r="C16" s="236">
        <v>2623</v>
      </c>
      <c r="D16" s="236">
        <v>2700</v>
      </c>
      <c r="E16" s="232"/>
      <c r="F16" s="236">
        <v>11860</v>
      </c>
      <c r="G16" s="236">
        <v>361474</v>
      </c>
      <c r="H16" s="236">
        <v>373334</v>
      </c>
      <c r="I16" s="232"/>
      <c r="J16" s="236">
        <v>0.6</v>
      </c>
      <c r="K16" s="236">
        <v>39.682</v>
      </c>
      <c r="L16" s="232">
        <v>40.282</v>
      </c>
    </row>
    <row r="17" spans="1:12" ht="12.75">
      <c r="A17" s="21">
        <v>1995</v>
      </c>
      <c r="B17" s="22">
        <v>95</v>
      </c>
      <c r="C17" s="22">
        <v>3518</v>
      </c>
      <c r="D17" s="22">
        <v>3613</v>
      </c>
      <c r="E17" s="23"/>
      <c r="F17" s="22">
        <v>13677</v>
      </c>
      <c r="G17" s="22">
        <v>510661</v>
      </c>
      <c r="H17" s="22">
        <v>524338</v>
      </c>
      <c r="I17" s="23"/>
      <c r="J17" s="42">
        <v>0</v>
      </c>
      <c r="K17" s="22">
        <v>10.954</v>
      </c>
      <c r="L17" s="23">
        <v>10.979</v>
      </c>
    </row>
    <row r="18" spans="1:12" ht="12.75">
      <c r="A18" s="195">
        <v>1996</v>
      </c>
      <c r="B18" s="236">
        <v>115</v>
      </c>
      <c r="C18" s="236">
        <v>2949</v>
      </c>
      <c r="D18" s="236">
        <v>3064</v>
      </c>
      <c r="E18" s="232"/>
      <c r="F18" s="236">
        <v>17431</v>
      </c>
      <c r="G18" s="236">
        <v>437531</v>
      </c>
      <c r="H18" s="236">
        <v>454962</v>
      </c>
      <c r="I18" s="232"/>
      <c r="J18" s="191">
        <v>1</v>
      </c>
      <c r="K18" s="236">
        <v>13</v>
      </c>
      <c r="L18" s="232">
        <v>14</v>
      </c>
    </row>
    <row r="19" spans="1:12" ht="12.75">
      <c r="A19" s="21">
        <v>1997</v>
      </c>
      <c r="B19" s="22">
        <f>7+150</f>
        <v>157</v>
      </c>
      <c r="C19" s="22">
        <f>299+3393</f>
        <v>3692</v>
      </c>
      <c r="D19" s="22">
        <f aca="true" t="shared" si="0" ref="D19:D32">B19+C19</f>
        <v>3849</v>
      </c>
      <c r="E19" s="23"/>
      <c r="F19" s="22">
        <f>4+19727</f>
        <v>19731</v>
      </c>
      <c r="G19" s="22">
        <f>1668+485525</f>
        <v>487193</v>
      </c>
      <c r="H19" s="22">
        <f aca="true" t="shared" si="1" ref="H19:H32">F19+G19</f>
        <v>506924</v>
      </c>
      <c r="I19" s="23"/>
      <c r="J19" s="42">
        <v>0</v>
      </c>
      <c r="K19" s="22">
        <v>55</v>
      </c>
      <c r="L19" s="22">
        <v>55</v>
      </c>
    </row>
    <row r="20" spans="1:12" ht="12.75">
      <c r="A20" s="195">
        <v>1998</v>
      </c>
      <c r="B20" s="236">
        <f>15+413</f>
        <v>428</v>
      </c>
      <c r="C20" s="236">
        <f>614+3892</f>
        <v>4506</v>
      </c>
      <c r="D20" s="236">
        <f t="shared" si="0"/>
        <v>4934</v>
      </c>
      <c r="E20" s="232"/>
      <c r="F20" s="236">
        <f>198+42201</f>
        <v>42399</v>
      </c>
      <c r="G20" s="236">
        <f>2923+540412</f>
        <v>543335</v>
      </c>
      <c r="H20" s="236">
        <f t="shared" si="1"/>
        <v>585734</v>
      </c>
      <c r="I20" s="232"/>
      <c r="J20" s="191">
        <f>48+0</f>
        <v>48</v>
      </c>
      <c r="K20" s="236">
        <f>12+142</f>
        <v>154</v>
      </c>
      <c r="L20" s="236">
        <f aca="true" t="shared" si="2" ref="L20:L25">SUM(J20:K20)</f>
        <v>202</v>
      </c>
    </row>
    <row r="21" spans="1:12" ht="12.75">
      <c r="A21" s="21">
        <v>1999</v>
      </c>
      <c r="B21" s="22">
        <f>158+644</f>
        <v>802</v>
      </c>
      <c r="C21" s="22">
        <f>268+3826</f>
        <v>4094</v>
      </c>
      <c r="D21" s="22">
        <f t="shared" si="0"/>
        <v>4896</v>
      </c>
      <c r="E21" s="23"/>
      <c r="F21" s="22">
        <f>2397+55729</f>
        <v>58126</v>
      </c>
      <c r="G21" s="22">
        <f>2740+545545</f>
        <v>548285</v>
      </c>
      <c r="H21" s="22">
        <f t="shared" si="1"/>
        <v>606411</v>
      </c>
      <c r="I21" s="23"/>
      <c r="J21" s="42">
        <f>35.3+171.6</f>
        <v>206.89999999999998</v>
      </c>
      <c r="K21" s="22">
        <f>10.7</f>
        <v>10.7</v>
      </c>
      <c r="L21" s="22">
        <f t="shared" si="2"/>
        <v>217.59999999999997</v>
      </c>
    </row>
    <row r="22" spans="1:12" ht="12.75">
      <c r="A22" s="195">
        <v>2000</v>
      </c>
      <c r="B22" s="236">
        <f>1177+547</f>
        <v>1724</v>
      </c>
      <c r="C22" s="236">
        <f>154+3703</f>
        <v>3857</v>
      </c>
      <c r="D22" s="236">
        <f t="shared" si="0"/>
        <v>5581</v>
      </c>
      <c r="E22" s="232"/>
      <c r="F22" s="236">
        <f>23541+39491</f>
        <v>63032</v>
      </c>
      <c r="G22" s="236">
        <f>1202+562988</f>
        <v>564190</v>
      </c>
      <c r="H22" s="236">
        <f t="shared" si="1"/>
        <v>627222</v>
      </c>
      <c r="I22" s="232"/>
      <c r="J22" s="191">
        <f>9.763+356.976</f>
        <v>366.739</v>
      </c>
      <c r="K22" s="236">
        <f>15.289</f>
        <v>15.289</v>
      </c>
      <c r="L22" s="236">
        <f t="shared" si="2"/>
        <v>382.02799999999996</v>
      </c>
    </row>
    <row r="23" spans="1:12" ht="12.75">
      <c r="A23" s="21">
        <v>2001</v>
      </c>
      <c r="B23" s="22">
        <f>903+471</f>
        <v>1374</v>
      </c>
      <c r="C23" s="22">
        <f>229+3688</f>
        <v>3917</v>
      </c>
      <c r="D23" s="22">
        <f t="shared" si="0"/>
        <v>5291</v>
      </c>
      <c r="E23" s="23"/>
      <c r="F23" s="22">
        <f>19064+49452</f>
        <v>68516</v>
      </c>
      <c r="G23" s="22">
        <f>770+533202</f>
        <v>533972</v>
      </c>
      <c r="H23" s="22">
        <f t="shared" si="1"/>
        <v>602488</v>
      </c>
      <c r="I23" s="23"/>
      <c r="J23" s="42">
        <f>2.593+9.298</f>
        <v>11.891</v>
      </c>
      <c r="K23" s="22">
        <f>5.06+155.568</f>
        <v>160.62800000000001</v>
      </c>
      <c r="L23" s="22">
        <f t="shared" si="2"/>
        <v>172.519</v>
      </c>
    </row>
    <row r="24" spans="1:12" ht="12.75">
      <c r="A24" s="195">
        <v>2002</v>
      </c>
      <c r="B24" s="236">
        <f>647+480</f>
        <v>1127</v>
      </c>
      <c r="C24" s="236">
        <f>669+3537</f>
        <v>4206</v>
      </c>
      <c r="D24" s="236">
        <f t="shared" si="0"/>
        <v>5333</v>
      </c>
      <c r="E24" s="232"/>
      <c r="F24" s="236">
        <f>6970+61863</f>
        <v>68833</v>
      </c>
      <c r="G24" s="236">
        <f>4346+461004</f>
        <v>465350</v>
      </c>
      <c r="H24" s="236">
        <f t="shared" si="1"/>
        <v>534183</v>
      </c>
      <c r="I24" s="232"/>
      <c r="J24" s="191">
        <f>1.2+0.682</f>
        <v>1.8820000000000001</v>
      </c>
      <c r="K24" s="236">
        <f>10.867+477.952</f>
        <v>488.819</v>
      </c>
      <c r="L24" s="236">
        <f t="shared" si="2"/>
        <v>490.701</v>
      </c>
    </row>
    <row r="25" spans="1:12" ht="12.75">
      <c r="A25" s="21">
        <v>2003</v>
      </c>
      <c r="B25" s="22">
        <f>2+7194</f>
        <v>7196</v>
      </c>
      <c r="C25" s="22">
        <f>173+3022</f>
        <v>3195</v>
      </c>
      <c r="D25" s="22">
        <f t="shared" si="0"/>
        <v>10391</v>
      </c>
      <c r="E25" s="23"/>
      <c r="F25" s="22">
        <f>142+1006016</f>
        <v>1006158</v>
      </c>
      <c r="G25" s="22">
        <f>1206+420521</f>
        <v>421727</v>
      </c>
      <c r="H25" s="22">
        <f t="shared" si="1"/>
        <v>1427885</v>
      </c>
      <c r="I25" s="23"/>
      <c r="J25" s="42">
        <v>2.598</v>
      </c>
      <c r="K25" s="22">
        <f>7.971+272.461</f>
        <v>280.432</v>
      </c>
      <c r="L25" s="22">
        <f t="shared" si="2"/>
        <v>283.03000000000003</v>
      </c>
    </row>
    <row r="26" spans="1:12" ht="12.75">
      <c r="A26" s="195">
        <v>2004</v>
      </c>
      <c r="B26" s="236">
        <f>12+17091</f>
        <v>17103</v>
      </c>
      <c r="C26" s="236">
        <f>154+2950</f>
        <v>3104</v>
      </c>
      <c r="D26" s="236">
        <f t="shared" si="0"/>
        <v>20207</v>
      </c>
      <c r="E26" s="232"/>
      <c r="F26" s="236">
        <f>100+2514656</f>
        <v>2514756</v>
      </c>
      <c r="G26" s="236">
        <f>1312+420461</f>
        <v>421773</v>
      </c>
      <c r="H26" s="236">
        <f t="shared" si="1"/>
        <v>2936529</v>
      </c>
      <c r="I26" s="232"/>
      <c r="J26" s="191">
        <f>2.169</f>
        <v>2.169</v>
      </c>
      <c r="K26" s="236">
        <f>1.3+139.304</f>
        <v>140.604</v>
      </c>
      <c r="L26" s="236">
        <f aca="true" t="shared" si="3" ref="L26:L32">SUM(J26:K26)</f>
        <v>142.77300000000002</v>
      </c>
    </row>
    <row r="27" spans="1:12" ht="12.75">
      <c r="A27" s="21">
        <v>2005</v>
      </c>
      <c r="B27" s="22">
        <f>9+20741</f>
        <v>20750</v>
      </c>
      <c r="C27" s="22">
        <f>209+2723</f>
        <v>2932</v>
      </c>
      <c r="D27" s="22">
        <f t="shared" si="0"/>
        <v>23682</v>
      </c>
      <c r="E27" s="23"/>
      <c r="F27" s="22">
        <f>583+3173862</f>
        <v>3174445</v>
      </c>
      <c r="G27" s="22">
        <f>2592+336575</f>
        <v>339167</v>
      </c>
      <c r="H27" s="22">
        <f t="shared" si="1"/>
        <v>3513612</v>
      </c>
      <c r="I27" s="23"/>
      <c r="J27" s="42">
        <v>0</v>
      </c>
      <c r="K27" s="22">
        <f>2.18+236.842</f>
        <v>239.02200000000002</v>
      </c>
      <c r="L27" s="22">
        <f t="shared" si="3"/>
        <v>239.02200000000002</v>
      </c>
    </row>
    <row r="28" spans="1:12" ht="12.75">
      <c r="A28" s="195">
        <v>2006</v>
      </c>
      <c r="B28" s="236">
        <f>8+20870</f>
        <v>20878</v>
      </c>
      <c r="C28" s="236">
        <f>239+3118</f>
        <v>3357</v>
      </c>
      <c r="D28" s="236">
        <f t="shared" si="0"/>
        <v>24235</v>
      </c>
      <c r="E28" s="232"/>
      <c r="F28" s="236">
        <f>698+3230304</f>
        <v>3231002</v>
      </c>
      <c r="G28" s="236">
        <f>3981+354173</f>
        <v>358154</v>
      </c>
      <c r="H28" s="236">
        <f t="shared" si="1"/>
        <v>3589156</v>
      </c>
      <c r="I28" s="232"/>
      <c r="J28" s="191">
        <f>0+0</f>
        <v>0</v>
      </c>
      <c r="K28" s="236">
        <f>0.24+483.306</f>
        <v>483.546</v>
      </c>
      <c r="L28" s="236">
        <f t="shared" si="3"/>
        <v>483.546</v>
      </c>
    </row>
    <row r="29" spans="1:12" ht="12.75">
      <c r="A29" s="21">
        <v>2007</v>
      </c>
      <c r="B29" s="22">
        <v>31859</v>
      </c>
      <c r="C29" s="22">
        <v>3276</v>
      </c>
      <c r="D29" s="22">
        <f t="shared" si="0"/>
        <v>35135</v>
      </c>
      <c r="E29" s="23"/>
      <c r="F29" s="22">
        <v>4535076</v>
      </c>
      <c r="G29" s="22">
        <v>292374</v>
      </c>
      <c r="H29" s="22">
        <f t="shared" si="1"/>
        <v>4827450</v>
      </c>
      <c r="I29" s="23"/>
      <c r="J29" s="42">
        <v>1.069</v>
      </c>
      <c r="K29" s="22">
        <v>233.11</v>
      </c>
      <c r="L29" s="22">
        <f t="shared" si="3"/>
        <v>234.179</v>
      </c>
    </row>
    <row r="30" spans="1:12" ht="12.75">
      <c r="A30" s="195">
        <v>2008</v>
      </c>
      <c r="B30" s="236">
        <v>37490</v>
      </c>
      <c r="C30" s="236">
        <v>2728</v>
      </c>
      <c r="D30" s="236">
        <f t="shared" si="0"/>
        <v>40218</v>
      </c>
      <c r="E30" s="232"/>
      <c r="F30" s="236">
        <v>5269872</v>
      </c>
      <c r="G30" s="236">
        <v>215996</v>
      </c>
      <c r="H30" s="236">
        <f t="shared" si="1"/>
        <v>5485868</v>
      </c>
      <c r="I30" s="232"/>
      <c r="J30" s="191">
        <v>0</v>
      </c>
      <c r="K30" s="236">
        <v>184</v>
      </c>
      <c r="L30" s="236">
        <f t="shared" si="3"/>
        <v>184</v>
      </c>
    </row>
    <row r="31" spans="1:12" ht="12.75">
      <c r="A31" s="21">
        <v>2009</v>
      </c>
      <c r="B31" s="22">
        <v>36212</v>
      </c>
      <c r="C31" s="22">
        <v>2006</v>
      </c>
      <c r="D31" s="22">
        <f t="shared" si="0"/>
        <v>38218</v>
      </c>
      <c r="E31" s="23"/>
      <c r="F31" s="22">
        <v>4427785</v>
      </c>
      <c r="G31" s="22">
        <v>127920</v>
      </c>
      <c r="H31" s="22">
        <f t="shared" si="1"/>
        <v>4555705</v>
      </c>
      <c r="I31" s="23"/>
      <c r="J31" s="42">
        <v>3</v>
      </c>
      <c r="K31" s="22">
        <v>68</v>
      </c>
      <c r="L31" s="22">
        <f t="shared" si="3"/>
        <v>71</v>
      </c>
    </row>
    <row r="32" spans="1:12" ht="12.75">
      <c r="A32" s="195">
        <v>2010</v>
      </c>
      <c r="B32" s="236">
        <v>33096</v>
      </c>
      <c r="C32" s="236">
        <v>10194</v>
      </c>
      <c r="D32" s="236">
        <f t="shared" si="0"/>
        <v>43290</v>
      </c>
      <c r="E32" s="232"/>
      <c r="F32" s="236">
        <v>4695022</v>
      </c>
      <c r="G32" s="236">
        <v>168703</v>
      </c>
      <c r="H32" s="236">
        <f t="shared" si="1"/>
        <v>4863725</v>
      </c>
      <c r="I32" s="232"/>
      <c r="J32" s="191">
        <v>0</v>
      </c>
      <c r="K32" s="236">
        <v>63</v>
      </c>
      <c r="L32" s="236">
        <f t="shared" si="3"/>
        <v>63</v>
      </c>
    </row>
    <row r="33" spans="1:12" ht="12.75">
      <c r="A33" s="21">
        <v>2011</v>
      </c>
      <c r="B33" s="22">
        <v>20156</v>
      </c>
      <c r="C33" s="22">
        <f aca="true" t="shared" si="4" ref="C33:C39">D33-B33</f>
        <v>7643</v>
      </c>
      <c r="D33" s="22">
        <v>27799</v>
      </c>
      <c r="E33" s="23"/>
      <c r="F33" s="22">
        <v>2861957</v>
      </c>
      <c r="G33" s="22">
        <f aca="true" t="shared" si="5" ref="G33:G40">H33-F33</f>
        <v>146020</v>
      </c>
      <c r="H33" s="22">
        <v>3007977</v>
      </c>
      <c r="I33" s="23"/>
      <c r="J33" s="42">
        <v>1</v>
      </c>
      <c r="K33" s="22">
        <v>62.495</v>
      </c>
      <c r="L33" s="22">
        <v>62.496</v>
      </c>
    </row>
    <row r="34" spans="1:12" ht="12.75">
      <c r="A34" s="195">
        <v>2012</v>
      </c>
      <c r="B34" s="236">
        <v>19422</v>
      </c>
      <c r="C34" s="236">
        <f t="shared" si="4"/>
        <v>8252</v>
      </c>
      <c r="D34" s="236">
        <v>27674</v>
      </c>
      <c r="E34" s="232"/>
      <c r="F34" s="236">
        <v>2728435</v>
      </c>
      <c r="G34" s="236">
        <f t="shared" si="5"/>
        <v>116247</v>
      </c>
      <c r="H34" s="236">
        <v>2844682</v>
      </c>
      <c r="I34" s="232"/>
      <c r="J34" s="191">
        <v>0</v>
      </c>
      <c r="K34" s="236">
        <v>135.27</v>
      </c>
      <c r="L34" s="236">
        <v>135.27</v>
      </c>
    </row>
    <row r="35" spans="1:12" ht="12.75">
      <c r="A35" s="21">
        <v>2013</v>
      </c>
      <c r="B35" s="22">
        <v>19372</v>
      </c>
      <c r="C35" s="22">
        <f t="shared" si="4"/>
        <v>7678</v>
      </c>
      <c r="D35" s="22">
        <v>27050</v>
      </c>
      <c r="E35" s="23"/>
      <c r="F35" s="22">
        <v>2631628</v>
      </c>
      <c r="G35" s="22">
        <f t="shared" si="5"/>
        <v>105240</v>
      </c>
      <c r="H35" s="22">
        <v>2736868</v>
      </c>
      <c r="I35" s="23"/>
      <c r="J35" s="42">
        <v>0</v>
      </c>
      <c r="K35" s="22">
        <f aca="true" t="shared" si="6" ref="K35:K40">L35-J35</f>
        <v>45.809</v>
      </c>
      <c r="L35" s="22">
        <v>45.809</v>
      </c>
    </row>
    <row r="36" spans="1:12" ht="12.75">
      <c r="A36" s="195">
        <v>2014</v>
      </c>
      <c r="B36" s="236">
        <v>14025</v>
      </c>
      <c r="C36" s="236">
        <f t="shared" si="4"/>
        <v>6604</v>
      </c>
      <c r="D36" s="236">
        <v>20629</v>
      </c>
      <c r="E36" s="232"/>
      <c r="F36" s="236">
        <v>2063390</v>
      </c>
      <c r="G36" s="236">
        <f t="shared" si="5"/>
        <v>97256</v>
      </c>
      <c r="H36" s="236">
        <v>2160646</v>
      </c>
      <c r="I36" s="232"/>
      <c r="J36" s="191">
        <v>0</v>
      </c>
      <c r="K36" s="236">
        <f t="shared" si="6"/>
        <v>90.364</v>
      </c>
      <c r="L36" s="236">
        <v>90.364</v>
      </c>
    </row>
    <row r="37" spans="1:12" ht="12.75">
      <c r="A37" s="21">
        <v>2015</v>
      </c>
      <c r="B37" s="22">
        <v>10412</v>
      </c>
      <c r="C37" s="22">
        <f t="shared" si="4"/>
        <v>9117</v>
      </c>
      <c r="D37" s="22">
        <v>19529</v>
      </c>
      <c r="E37" s="23"/>
      <c r="F37" s="22">
        <v>1679725</v>
      </c>
      <c r="G37" s="22">
        <f t="shared" si="5"/>
        <v>95601</v>
      </c>
      <c r="H37" s="22">
        <v>1775326</v>
      </c>
      <c r="I37" s="23"/>
      <c r="J37" s="42">
        <v>0.29</v>
      </c>
      <c r="K37" s="22">
        <f t="shared" si="6"/>
        <v>95.878</v>
      </c>
      <c r="L37" s="22">
        <v>96.168</v>
      </c>
    </row>
    <row r="38" spans="1:12" ht="12.75">
      <c r="A38" s="195">
        <v>2016</v>
      </c>
      <c r="B38" s="236">
        <v>9180</v>
      </c>
      <c r="C38" s="237">
        <f t="shared" si="4"/>
        <v>9635</v>
      </c>
      <c r="D38" s="236">
        <v>18815</v>
      </c>
      <c r="E38" s="232"/>
      <c r="F38" s="236">
        <v>1510016</v>
      </c>
      <c r="G38" s="236">
        <f t="shared" si="5"/>
        <v>154747</v>
      </c>
      <c r="H38" s="236">
        <v>1664763</v>
      </c>
      <c r="I38" s="232"/>
      <c r="J38" s="191">
        <v>0.07</v>
      </c>
      <c r="K38" s="237">
        <f t="shared" si="6"/>
        <v>51.294</v>
      </c>
      <c r="L38" s="236">
        <v>51.364</v>
      </c>
    </row>
    <row r="39" spans="1:12" ht="12.75">
      <c r="A39" s="266">
        <v>2017</v>
      </c>
      <c r="B39" s="169">
        <v>10913</v>
      </c>
      <c r="C39" s="275">
        <f t="shared" si="4"/>
        <v>8339</v>
      </c>
      <c r="D39" s="169">
        <v>19252</v>
      </c>
      <c r="E39" s="170"/>
      <c r="F39" s="169">
        <v>1793846</v>
      </c>
      <c r="G39" s="169">
        <f t="shared" si="5"/>
        <v>152970</v>
      </c>
      <c r="H39" s="169">
        <v>1946816</v>
      </c>
      <c r="I39" s="170"/>
      <c r="J39" s="145">
        <v>0</v>
      </c>
      <c r="K39" s="275">
        <f t="shared" si="6"/>
        <v>125.501</v>
      </c>
      <c r="L39" s="169">
        <v>125.501</v>
      </c>
    </row>
    <row r="40" spans="1:12" ht="12.75">
      <c r="A40" s="195">
        <v>2018</v>
      </c>
      <c r="B40" s="236">
        <v>11607</v>
      </c>
      <c r="C40" s="237">
        <f>D40-B40</f>
        <v>6263</v>
      </c>
      <c r="D40" s="236">
        <v>17870</v>
      </c>
      <c r="E40" s="232"/>
      <c r="F40" s="236">
        <v>1909857</v>
      </c>
      <c r="G40" s="236">
        <f t="shared" si="5"/>
        <v>110019</v>
      </c>
      <c r="H40" s="236">
        <v>2019876</v>
      </c>
      <c r="I40" s="232"/>
      <c r="J40" s="191">
        <v>0.37</v>
      </c>
      <c r="K40" s="237">
        <f t="shared" si="6"/>
        <v>132.59199999999998</v>
      </c>
      <c r="L40" s="236">
        <v>132.962</v>
      </c>
    </row>
    <row r="41" spans="1:12" ht="12.75">
      <c r="A41" s="44"/>
      <c r="B41" s="45"/>
      <c r="C41" s="45"/>
      <c r="D41" s="26"/>
      <c r="E41" s="12"/>
      <c r="F41" s="45"/>
      <c r="G41" s="45"/>
      <c r="H41" s="45"/>
      <c r="I41" s="12"/>
      <c r="J41" s="12"/>
      <c r="K41" s="12"/>
      <c r="L41" s="12"/>
    </row>
    <row r="42" spans="1:12" ht="15" customHeight="1">
      <c r="A42" s="160" t="s">
        <v>77</v>
      </c>
      <c r="B42" s="22"/>
      <c r="C42" s="22"/>
      <c r="D42" s="22"/>
      <c r="E42" s="23"/>
      <c r="F42" s="22"/>
      <c r="G42" s="22"/>
      <c r="H42" s="22"/>
      <c r="I42" s="23"/>
      <c r="J42" s="22"/>
      <c r="K42" s="22"/>
      <c r="L42" s="22"/>
    </row>
    <row r="43" spans="1:12" ht="15" customHeight="1">
      <c r="A43" s="351" t="s">
        <v>162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</row>
    <row r="44" ht="12.75">
      <c r="A44" s="157" t="s">
        <v>168</v>
      </c>
    </row>
    <row r="45" ht="12.75">
      <c r="A45" s="157" t="s">
        <v>167</v>
      </c>
    </row>
  </sheetData>
  <sheetProtection/>
  <mergeCells count="1">
    <mergeCell ref="A43:L43"/>
  </mergeCells>
  <printOptions/>
  <pageMargins left="0.1968503937007874" right="0.1968503937007874" top="0.5511811023622047" bottom="0" header="0" footer="0"/>
  <pageSetup fitToHeight="1" fitToWidth="1" horizontalDpi="600" verticalDpi="600" orientation="portrait" paperSize="9" r:id="rId1"/>
  <ignoredErrors>
    <ignoredError sqref="B19:K20 N19:N20 M33:M34 N32 B32:K32 L19:M20 L9:M18 L21:L31 M32 M21:M31 B21:K31 N21:N31 G33:G40 L32 L41 M41 C33:C37 K35:K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 DPTOP 2005. Aeroports i instal.lacions nàutiques</dc:title>
  <dc:subject>Detall del tràfic d'aeronaus i de mercaderies així com del trànsit de passatgers dels aeroports de Catalunya</dc:subject>
  <dc:creator>Generalitat de Catalunya. Departament de Política Territorial i Obres Públiques</dc:creator>
  <cp:keywords>aeroport; aeronaus; passatgers; mercaderies; tones; vols regulars.</cp:keywords>
  <dc:description/>
  <cp:lastModifiedBy>Castillo Salvo, Maria Isabel</cp:lastModifiedBy>
  <cp:lastPrinted>2019-05-17T10:54:53Z</cp:lastPrinted>
  <dcterms:created xsi:type="dcterms:W3CDTF">1996-11-27T10:00:04Z</dcterms:created>
  <dcterms:modified xsi:type="dcterms:W3CDTF">2019-05-17T10:56:47Z</dcterms:modified>
  <cp:category/>
  <cp:version/>
  <cp:contentType/>
  <cp:contentStatus/>
</cp:coreProperties>
</file>